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PROIECT BUGET 2021  " sheetId="17" r:id="rId1"/>
  </sheets>
  <definedNames>
    <definedName name="_xlnm.Print_Titles" localSheetId="0">'PROIECT BUGET 2021  '!$9:$11</definedName>
  </definedNames>
  <calcPr calcId="125725"/>
</workbook>
</file>

<file path=xl/calcChain.xml><?xml version="1.0" encoding="utf-8"?>
<calcChain xmlns="http://schemas.openxmlformats.org/spreadsheetml/2006/main">
  <c r="U64" i="17"/>
  <c r="T64"/>
  <c r="S64"/>
  <c r="M1206" l="1"/>
  <c r="M1212"/>
  <c r="L1212"/>
  <c r="L1206"/>
  <c r="P269"/>
  <c r="O269"/>
  <c r="P754"/>
  <c r="O754"/>
  <c r="O21"/>
  <c r="O20"/>
  <c r="P20"/>
  <c r="P21"/>
  <c r="U1095" l="1"/>
  <c r="T1095"/>
  <c r="S1095"/>
  <c r="S753"/>
  <c r="U753"/>
  <c r="T753"/>
  <c r="P881"/>
  <c r="P880"/>
  <c r="N881"/>
  <c r="N880"/>
  <c r="M1112"/>
  <c r="L1112"/>
  <c r="N23"/>
  <c r="L23"/>
  <c r="L269"/>
  <c r="L558"/>
  <c r="N558"/>
  <c r="N269"/>
  <c r="T376"/>
  <c r="T382"/>
  <c r="S1111"/>
  <c r="P851"/>
  <c r="M851"/>
  <c r="N851"/>
  <c r="P753"/>
  <c r="O753"/>
  <c r="N753"/>
  <c r="P16"/>
  <c r="O16"/>
  <c r="P1095"/>
  <c r="O1095"/>
  <c r="N1095"/>
  <c r="M1095"/>
  <c r="M753"/>
  <c r="O714"/>
  <c r="N714"/>
  <c r="M714"/>
  <c r="L612"/>
  <c r="L611"/>
  <c r="L606"/>
  <c r="L605"/>
  <c r="L600"/>
  <c r="L599"/>
  <c r="L594"/>
  <c r="L593"/>
  <c r="L588"/>
  <c r="L587"/>
  <c r="L88"/>
  <c r="O88"/>
  <c r="O611"/>
  <c r="O605"/>
  <c r="O599"/>
  <c r="O593"/>
  <c r="O587"/>
  <c r="P499"/>
  <c r="P416"/>
  <c r="P392"/>
  <c r="O392"/>
  <c r="N392"/>
  <c r="M392"/>
  <c r="L575"/>
  <c r="P27" l="1"/>
  <c r="N21"/>
  <c r="P714"/>
  <c r="P32"/>
  <c r="O32"/>
  <c r="N32"/>
  <c r="M537"/>
  <c r="O858"/>
  <c r="R14" l="1"/>
  <c r="R24"/>
  <c r="R26"/>
  <c r="R28"/>
  <c r="R33"/>
  <c r="R38"/>
  <c r="R45"/>
  <c r="R46"/>
  <c r="R48"/>
  <c r="R54"/>
  <c r="R59"/>
  <c r="R60"/>
  <c r="R76"/>
  <c r="R77"/>
  <c r="R78"/>
  <c r="R79"/>
  <c r="R80"/>
  <c r="R81"/>
  <c r="R82"/>
  <c r="R83"/>
  <c r="R85"/>
  <c r="R86"/>
  <c r="R87"/>
  <c r="R89"/>
  <c r="R90"/>
  <c r="R91"/>
  <c r="R92"/>
  <c r="R93"/>
  <c r="R94"/>
  <c r="R97"/>
  <c r="R98"/>
  <c r="R99"/>
  <c r="R103"/>
  <c r="R104"/>
  <c r="R107"/>
  <c r="R108"/>
  <c r="R109"/>
  <c r="R110"/>
  <c r="R111"/>
  <c r="R112"/>
  <c r="R113"/>
  <c r="R114"/>
  <c r="R115"/>
  <c r="R116"/>
  <c r="R117"/>
  <c r="R118"/>
  <c r="R119"/>
  <c r="R120"/>
  <c r="R133"/>
  <c r="R137"/>
  <c r="R139"/>
  <c r="R148"/>
  <c r="R149"/>
  <c r="R151"/>
  <c r="R157"/>
  <c r="R162"/>
  <c r="R167"/>
  <c r="R173"/>
  <c r="R174"/>
  <c r="R175"/>
  <c r="R177"/>
  <c r="R179"/>
  <c r="R180"/>
  <c r="R181"/>
  <c r="R182"/>
  <c r="R183"/>
  <c r="R184"/>
  <c r="R188"/>
  <c r="R189"/>
  <c r="R190"/>
  <c r="R192"/>
  <c r="R193"/>
  <c r="R194"/>
  <c r="R195"/>
  <c r="R196"/>
  <c r="R197"/>
  <c r="R198"/>
  <c r="R199"/>
  <c r="R200"/>
  <c r="R203"/>
  <c r="R204"/>
  <c r="R205"/>
  <c r="R209"/>
  <c r="R210"/>
  <c r="R213"/>
  <c r="R214"/>
  <c r="R215"/>
  <c r="R216"/>
  <c r="R217"/>
  <c r="R218"/>
  <c r="R219"/>
  <c r="R220"/>
  <c r="R227"/>
  <c r="R230"/>
  <c r="R234"/>
  <c r="R244"/>
  <c r="R253"/>
  <c r="R254"/>
  <c r="R257"/>
  <c r="R259"/>
  <c r="R260"/>
  <c r="R261"/>
  <c r="R262"/>
  <c r="R270"/>
  <c r="R271"/>
  <c r="R272"/>
  <c r="R275"/>
  <c r="R276"/>
  <c r="R277"/>
  <c r="R278"/>
  <c r="R279"/>
  <c r="R290"/>
  <c r="R291"/>
  <c r="R292"/>
  <c r="R293"/>
  <c r="R294"/>
  <c r="R295"/>
  <c r="R296"/>
  <c r="R297"/>
  <c r="R298"/>
  <c r="R299"/>
  <c r="R300"/>
  <c r="R301"/>
  <c r="R302"/>
  <c r="R303"/>
  <c r="R304"/>
  <c r="R310"/>
  <c r="R315"/>
  <c r="R335"/>
  <c r="R336"/>
  <c r="R337"/>
  <c r="R338"/>
  <c r="R339"/>
  <c r="R340"/>
  <c r="R341"/>
  <c r="R342"/>
  <c r="R343"/>
  <c r="R344"/>
  <c r="R345"/>
  <c r="R346"/>
  <c r="R347"/>
  <c r="R348"/>
  <c r="R349"/>
  <c r="R350"/>
  <c r="R351"/>
  <c r="R352"/>
  <c r="R364"/>
  <c r="R375"/>
  <c r="R394"/>
  <c r="R395"/>
  <c r="R396"/>
  <c r="R402"/>
  <c r="R403"/>
  <c r="R404"/>
  <c r="R405"/>
  <c r="R406"/>
  <c r="R407"/>
  <c r="R408"/>
  <c r="R409"/>
  <c r="R410"/>
  <c r="R414"/>
  <c r="R417"/>
  <c r="R421"/>
  <c r="R423"/>
  <c r="R440"/>
  <c r="R441"/>
  <c r="R446"/>
  <c r="R448"/>
  <c r="R451"/>
  <c r="R452"/>
  <c r="R459"/>
  <c r="R462"/>
  <c r="R465"/>
  <c r="R467"/>
  <c r="R470"/>
  <c r="R476"/>
  <c r="R479"/>
  <c r="R480"/>
  <c r="R481"/>
  <c r="R482"/>
  <c r="R487"/>
  <c r="R491"/>
  <c r="R492"/>
  <c r="R493"/>
  <c r="R498"/>
  <c r="R502"/>
  <c r="R503"/>
  <c r="R504"/>
  <c r="R505"/>
  <c r="R506"/>
  <c r="R507"/>
  <c r="R508"/>
  <c r="R509"/>
  <c r="R514"/>
  <c r="R518"/>
  <c r="R519"/>
  <c r="R520"/>
  <c r="R525"/>
  <c r="R529"/>
  <c r="R530"/>
  <c r="R531"/>
  <c r="R536"/>
  <c r="R540"/>
  <c r="R541"/>
  <c r="R542"/>
  <c r="R547"/>
  <c r="R551"/>
  <c r="R552"/>
  <c r="R553"/>
  <c r="R557"/>
  <c r="R559"/>
  <c r="R564"/>
  <c r="R566"/>
  <c r="R567"/>
  <c r="R568"/>
  <c r="R569"/>
  <c r="R578"/>
  <c r="R613"/>
  <c r="R614"/>
  <c r="R615"/>
  <c r="R616"/>
  <c r="R617"/>
  <c r="R618"/>
  <c r="R619"/>
  <c r="R620"/>
  <c r="R621"/>
  <c r="R622"/>
  <c r="R623"/>
  <c r="R624"/>
  <c r="R625"/>
  <c r="R626"/>
  <c r="R627"/>
  <c r="R628"/>
  <c r="R629"/>
  <c r="R630"/>
  <c r="R631"/>
  <c r="R638"/>
  <c r="R641"/>
  <c r="R649"/>
  <c r="R652"/>
  <c r="R660"/>
  <c r="R661"/>
  <c r="R662"/>
  <c r="R663"/>
  <c r="R664"/>
  <c r="R665"/>
  <c r="R666"/>
  <c r="R667"/>
  <c r="R668"/>
  <c r="R669"/>
  <c r="R670"/>
  <c r="R671"/>
  <c r="R672"/>
  <c r="R673"/>
  <c r="R674"/>
  <c r="R700"/>
  <c r="R701"/>
  <c r="R702"/>
  <c r="R709"/>
  <c r="R710"/>
  <c r="R715"/>
  <c r="R722"/>
  <c r="R723"/>
  <c r="R724"/>
  <c r="R725"/>
  <c r="R730"/>
  <c r="R741"/>
  <c r="R744"/>
  <c r="R747"/>
  <c r="R749"/>
  <c r="R756"/>
  <c r="R759"/>
  <c r="R761"/>
  <c r="R767"/>
  <c r="R768"/>
  <c r="R769"/>
  <c r="R770"/>
  <c r="R771"/>
  <c r="R772"/>
  <c r="R773"/>
  <c r="R774"/>
  <c r="R775"/>
  <c r="R776"/>
  <c r="R782"/>
  <c r="R783"/>
  <c r="R784"/>
  <c r="R785"/>
  <c r="R786"/>
  <c r="R787"/>
  <c r="R788"/>
  <c r="R832"/>
  <c r="R838"/>
  <c r="R839"/>
  <c r="R840"/>
  <c r="R846"/>
  <c r="R847"/>
  <c r="R853"/>
  <c r="R854"/>
  <c r="R860"/>
  <c r="R861"/>
  <c r="R862"/>
  <c r="R868"/>
  <c r="R869"/>
  <c r="R875"/>
  <c r="R876"/>
  <c r="R882"/>
  <c r="R883"/>
  <c r="R884"/>
  <c r="R885"/>
  <c r="R886"/>
  <c r="R887"/>
  <c r="R888"/>
  <c r="R894"/>
  <c r="R895"/>
  <c r="R901"/>
  <c r="R902"/>
  <c r="R907"/>
  <c r="R916"/>
  <c r="R917"/>
  <c r="R918"/>
  <c r="R925"/>
  <c r="R943"/>
  <c r="R944"/>
  <c r="R945"/>
  <c r="R946"/>
  <c r="R953"/>
  <c r="R954"/>
  <c r="R959"/>
  <c r="R960"/>
  <c r="R961"/>
  <c r="R962"/>
  <c r="R963"/>
  <c r="R970"/>
  <c r="R971"/>
  <c r="R972"/>
  <c r="R980"/>
  <c r="R981"/>
  <c r="R988"/>
  <c r="R991"/>
  <c r="R992"/>
  <c r="R993"/>
  <c r="R994"/>
  <c r="R995"/>
  <c r="R996"/>
  <c r="R997"/>
  <c r="R998"/>
  <c r="R999"/>
  <c r="R1000"/>
  <c r="R1001"/>
  <c r="R1002"/>
  <c r="R1003"/>
  <c r="R1004"/>
  <c r="R1005"/>
  <c r="R1006"/>
  <c r="R1007"/>
  <c r="R1008"/>
  <c r="R1009"/>
  <c r="R1010"/>
  <c r="R1011"/>
  <c r="R1012"/>
  <c r="R1013"/>
  <c r="R1018"/>
  <c r="R1019"/>
  <c r="R1020"/>
  <c r="R1021"/>
  <c r="R1022"/>
  <c r="R1023"/>
  <c r="R1024"/>
  <c r="R1025"/>
  <c r="R1026"/>
  <c r="R1027"/>
  <c r="R1028"/>
  <c r="R1029"/>
  <c r="R1037"/>
  <c r="R1039"/>
  <c r="R1040"/>
  <c r="R1041"/>
  <c r="R1044"/>
  <c r="R1045"/>
  <c r="R1048"/>
  <c r="R1053"/>
  <c r="R1063"/>
  <c r="R1064"/>
  <c r="R1065"/>
  <c r="R1066"/>
  <c r="R1067"/>
  <c r="R1068"/>
  <c r="R1069"/>
  <c r="R1070"/>
  <c r="R1071"/>
  <c r="R1072"/>
  <c r="R1073"/>
  <c r="R1074"/>
  <c r="R1075"/>
  <c r="R1076"/>
  <c r="R1077"/>
  <c r="R1078"/>
  <c r="R1079"/>
  <c r="R1083"/>
  <c r="R1085"/>
  <c r="R1087"/>
  <c r="R1090"/>
  <c r="R1094"/>
  <c r="R1096"/>
  <c r="R1097"/>
  <c r="R1098"/>
  <c r="R1102"/>
  <c r="R1103"/>
  <c r="R1104"/>
  <c r="R1105"/>
  <c r="R1106"/>
  <c r="R1107"/>
  <c r="R1108"/>
  <c r="R1109"/>
  <c r="R1125"/>
  <c r="R1126"/>
  <c r="R1127"/>
  <c r="R1128"/>
  <c r="R1129"/>
  <c r="R1130"/>
  <c r="R1131"/>
  <c r="R1132"/>
  <c r="R1133"/>
  <c r="R1134"/>
  <c r="R1135"/>
  <c r="Q14"/>
  <c r="Q16"/>
  <c r="R16" s="1"/>
  <c r="Q17"/>
  <c r="R17" s="1"/>
  <c r="Q20"/>
  <c r="R20" s="1"/>
  <c r="Q21"/>
  <c r="R21" s="1"/>
  <c r="Q22"/>
  <c r="R22" s="1"/>
  <c r="Q24"/>
  <c r="Q26"/>
  <c r="Q27"/>
  <c r="R27" s="1"/>
  <c r="Q28"/>
  <c r="Q30"/>
  <c r="Q32"/>
  <c r="R32" s="1"/>
  <c r="Q33"/>
  <c r="Q34"/>
  <c r="R34" s="1"/>
  <c r="Q35"/>
  <c r="R35" s="1"/>
  <c r="Q36"/>
  <c r="R36" s="1"/>
  <c r="Q37"/>
  <c r="R37" s="1"/>
  <c r="Q38"/>
  <c r="Q41"/>
  <c r="R41" s="1"/>
  <c r="Q42"/>
  <c r="R42" s="1"/>
  <c r="Q43"/>
  <c r="R43" s="1"/>
  <c r="Q45"/>
  <c r="Q46"/>
  <c r="Q47"/>
  <c r="R47" s="1"/>
  <c r="Q48"/>
  <c r="Q50"/>
  <c r="R50" s="1"/>
  <c r="Q52"/>
  <c r="R52" s="1"/>
  <c r="Q53"/>
  <c r="R53" s="1"/>
  <c r="Q54"/>
  <c r="Q55"/>
  <c r="R55" s="1"/>
  <c r="Q57"/>
  <c r="R57" s="1"/>
  <c r="Q59"/>
  <c r="Q60"/>
  <c r="Q61"/>
  <c r="R61" s="1"/>
  <c r="Q63"/>
  <c r="R63" s="1"/>
  <c r="Q64"/>
  <c r="R64" s="1"/>
  <c r="Q66"/>
  <c r="R66" s="1"/>
  <c r="Q68"/>
  <c r="R68" s="1"/>
  <c r="Q69"/>
  <c r="R69" s="1"/>
  <c r="Q70"/>
  <c r="R70" s="1"/>
  <c r="Q71"/>
  <c r="R71" s="1"/>
  <c r="Q72"/>
  <c r="R72" s="1"/>
  <c r="Q73"/>
  <c r="R73" s="1"/>
  <c r="Q76"/>
  <c r="Q77"/>
  <c r="Q78"/>
  <c r="Q79"/>
  <c r="Q80"/>
  <c r="Q81"/>
  <c r="Q82"/>
  <c r="Q83"/>
  <c r="Q85"/>
  <c r="Q86"/>
  <c r="Q87"/>
  <c r="Q88"/>
  <c r="R88" s="1"/>
  <c r="Q89"/>
  <c r="Q90"/>
  <c r="Q91"/>
  <c r="Q92"/>
  <c r="Q93"/>
  <c r="Q94"/>
  <c r="Q95"/>
  <c r="R95" s="1"/>
  <c r="Q97"/>
  <c r="Q98"/>
  <c r="Q99"/>
  <c r="Q103"/>
  <c r="Q104"/>
  <c r="Q107"/>
  <c r="Q108"/>
  <c r="Q109"/>
  <c r="Q110"/>
  <c r="Q111"/>
  <c r="Q112"/>
  <c r="Q113"/>
  <c r="Q114"/>
  <c r="Q115"/>
  <c r="Q116"/>
  <c r="Q117"/>
  <c r="Q118"/>
  <c r="Q119"/>
  <c r="Q120"/>
  <c r="Q133"/>
  <c r="Q137"/>
  <c r="Q139"/>
  <c r="Q148"/>
  <c r="Q149"/>
  <c r="Q151"/>
  <c r="Q157"/>
  <c r="Q162"/>
  <c r="Q167"/>
  <c r="Q168"/>
  <c r="R168" s="1"/>
  <c r="Q169"/>
  <c r="R169" s="1"/>
  <c r="Q170"/>
  <c r="R170" s="1"/>
  <c r="Q173"/>
  <c r="Q174"/>
  <c r="Q175"/>
  <c r="Q177"/>
  <c r="Q179"/>
  <c r="Q180"/>
  <c r="Q181"/>
  <c r="Q182"/>
  <c r="Q183"/>
  <c r="Q184"/>
  <c r="Q188"/>
  <c r="Q189"/>
  <c r="Q190"/>
  <c r="Q192"/>
  <c r="Q193"/>
  <c r="Q194"/>
  <c r="Q195"/>
  <c r="Q196"/>
  <c r="Q197"/>
  <c r="Q198"/>
  <c r="Q199"/>
  <c r="Q200"/>
  <c r="Q203"/>
  <c r="Q204"/>
  <c r="Q205"/>
  <c r="Q209"/>
  <c r="Q210"/>
  <c r="Q213"/>
  <c r="Q214"/>
  <c r="Q215"/>
  <c r="Q216"/>
  <c r="Q217"/>
  <c r="Q218"/>
  <c r="Q219"/>
  <c r="Q220"/>
  <c r="Q227"/>
  <c r="Q230"/>
  <c r="Q234"/>
  <c r="Q238"/>
  <c r="R238" s="1"/>
  <c r="Q244"/>
  <c r="Q253"/>
  <c r="Q254"/>
  <c r="Q257"/>
  <c r="Q259"/>
  <c r="Q260"/>
  <c r="Q261"/>
  <c r="Q262"/>
  <c r="Q268"/>
  <c r="R268" s="1"/>
  <c r="Q269"/>
  <c r="R269" s="1"/>
  <c r="Q270"/>
  <c r="Q271"/>
  <c r="Q272"/>
  <c r="Q273"/>
  <c r="R273" s="1"/>
  <c r="Q275"/>
  <c r="Q276"/>
  <c r="Q277"/>
  <c r="Q278"/>
  <c r="Q279"/>
  <c r="Q289"/>
  <c r="R289" s="1"/>
  <c r="Q290"/>
  <c r="Q291"/>
  <c r="Q292"/>
  <c r="Q293"/>
  <c r="Q294"/>
  <c r="Q295"/>
  <c r="Q296"/>
  <c r="Q297"/>
  <c r="Q298"/>
  <c r="Q299"/>
  <c r="Q300"/>
  <c r="Q301"/>
  <c r="Q302"/>
  <c r="Q303"/>
  <c r="Q304"/>
  <c r="Q308"/>
  <c r="R308" s="1"/>
  <c r="Q309"/>
  <c r="R309" s="1"/>
  <c r="Q310"/>
  <c r="Q314"/>
  <c r="R314" s="1"/>
  <c r="Q315"/>
  <c r="Q316"/>
  <c r="R316" s="1"/>
  <c r="Q320"/>
  <c r="R320" s="1"/>
  <c r="Q321"/>
  <c r="R321" s="1"/>
  <c r="Q322"/>
  <c r="R322" s="1"/>
  <c r="Q326"/>
  <c r="R326" s="1"/>
  <c r="Q327"/>
  <c r="R327" s="1"/>
  <c r="Q328"/>
  <c r="R328" s="1"/>
  <c r="Q332"/>
  <c r="R332" s="1"/>
  <c r="Q333"/>
  <c r="R333" s="1"/>
  <c r="Q334"/>
  <c r="R334" s="1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6"/>
  <c r="R356" s="1"/>
  <c r="Q357"/>
  <c r="R357" s="1"/>
  <c r="Q358"/>
  <c r="R358" s="1"/>
  <c r="Q362"/>
  <c r="R362" s="1"/>
  <c r="Q363"/>
  <c r="R363" s="1"/>
  <c r="Q364"/>
  <c r="Q368"/>
  <c r="R368" s="1"/>
  <c r="Q369"/>
  <c r="R369" s="1"/>
  <c r="Q370"/>
  <c r="R370" s="1"/>
  <c r="Q374"/>
  <c r="R374" s="1"/>
  <c r="Q375"/>
  <c r="Q376"/>
  <c r="R376" s="1"/>
  <c r="Q380"/>
  <c r="R380" s="1"/>
  <c r="Q381"/>
  <c r="R381" s="1"/>
  <c r="Q382"/>
  <c r="R382" s="1"/>
  <c r="Q387"/>
  <c r="R387" s="1"/>
  <c r="Q392"/>
  <c r="R392" s="1"/>
  <c r="Q393"/>
  <c r="R393" s="1"/>
  <c r="Q394"/>
  <c r="Q395"/>
  <c r="Q396"/>
  <c r="Q401"/>
  <c r="R401" s="1"/>
  <c r="Q402"/>
  <c r="Q403"/>
  <c r="Q404"/>
  <c r="Q405"/>
  <c r="Q406"/>
  <c r="Q407"/>
  <c r="Q408"/>
  <c r="Q409"/>
  <c r="Q410"/>
  <c r="Q414"/>
  <c r="Q416"/>
  <c r="R416" s="1"/>
  <c r="Q417"/>
  <c r="Q421"/>
  <c r="Q423"/>
  <c r="Q430"/>
  <c r="R430" s="1"/>
  <c r="Q432"/>
  <c r="Q433"/>
  <c r="R433" s="1"/>
  <c r="Q434"/>
  <c r="R434" s="1"/>
  <c r="Q435"/>
  <c r="R435" s="1"/>
  <c r="Q439"/>
  <c r="R439" s="1"/>
  <c r="Q440"/>
  <c r="Q441"/>
  <c r="Q446"/>
  <c r="Q447"/>
  <c r="R447" s="1"/>
  <c r="Q448"/>
  <c r="Q450"/>
  <c r="R450" s="1"/>
  <c r="Q451"/>
  <c r="Q452"/>
  <c r="Q459"/>
  <c r="Q462"/>
  <c r="Q465"/>
  <c r="Q467"/>
  <c r="Q470"/>
  <c r="Q476"/>
  <c r="Q479"/>
  <c r="Q480"/>
  <c r="Q481"/>
  <c r="Q482"/>
  <c r="Q487"/>
  <c r="Q491"/>
  <c r="Q492"/>
  <c r="Q493"/>
  <c r="Q497"/>
  <c r="R497" s="1"/>
  <c r="Q498"/>
  <c r="Q499"/>
  <c r="R499" s="1"/>
  <c r="Q500"/>
  <c r="R500" s="1"/>
  <c r="Q501"/>
  <c r="R501" s="1"/>
  <c r="Q502"/>
  <c r="Q503"/>
  <c r="Q504"/>
  <c r="Q505"/>
  <c r="Q506"/>
  <c r="Q507"/>
  <c r="Q508"/>
  <c r="Q509"/>
  <c r="Q513"/>
  <c r="R513" s="1"/>
  <c r="Q514"/>
  <c r="Q515"/>
  <c r="R515" s="1"/>
  <c r="Q516"/>
  <c r="R516" s="1"/>
  <c r="Q517"/>
  <c r="R517" s="1"/>
  <c r="Q518"/>
  <c r="Q519"/>
  <c r="Q520"/>
  <c r="Q524"/>
  <c r="R524" s="1"/>
  <c r="Q525"/>
  <c r="Q526"/>
  <c r="R526" s="1"/>
  <c r="Q527"/>
  <c r="R527" s="1"/>
  <c r="Q528"/>
  <c r="R528" s="1"/>
  <c r="Q529"/>
  <c r="Q530"/>
  <c r="Q531"/>
  <c r="Q535"/>
  <c r="R535" s="1"/>
  <c r="Q536"/>
  <c r="Q537"/>
  <c r="R537" s="1"/>
  <c r="Q538"/>
  <c r="R538" s="1"/>
  <c r="Q539"/>
  <c r="R539" s="1"/>
  <c r="Q540"/>
  <c r="Q541"/>
  <c r="Q542"/>
  <c r="Q546"/>
  <c r="R546" s="1"/>
  <c r="Q547"/>
  <c r="Q548"/>
  <c r="R548" s="1"/>
  <c r="Q549"/>
  <c r="R549" s="1"/>
  <c r="Q550"/>
  <c r="R550" s="1"/>
  <c r="Q551"/>
  <c r="Q552"/>
  <c r="Q553"/>
  <c r="Q557"/>
  <c r="Q558"/>
  <c r="R558" s="1"/>
  <c r="Q559"/>
  <c r="Q563"/>
  <c r="R563" s="1"/>
  <c r="Q564"/>
  <c r="Q565"/>
  <c r="R565" s="1"/>
  <c r="Q566"/>
  <c r="Q567"/>
  <c r="Q568"/>
  <c r="Q569"/>
  <c r="Q575"/>
  <c r="R575" s="1"/>
  <c r="Q577"/>
  <c r="R577" s="1"/>
  <c r="Q578"/>
  <c r="Q587"/>
  <c r="R587" s="1"/>
  <c r="Q588"/>
  <c r="R588" s="1"/>
  <c r="Q593"/>
  <c r="R593" s="1"/>
  <c r="Q594"/>
  <c r="R594" s="1"/>
  <c r="Q599"/>
  <c r="R599" s="1"/>
  <c r="Q600"/>
  <c r="R600" s="1"/>
  <c r="Q605"/>
  <c r="R605" s="1"/>
  <c r="Q606"/>
  <c r="R606" s="1"/>
  <c r="Q611"/>
  <c r="R611" s="1"/>
  <c r="Q612"/>
  <c r="R612" s="1"/>
  <c r="Q613"/>
  <c r="Q614"/>
  <c r="Q615"/>
  <c r="Q616"/>
  <c r="Q617"/>
  <c r="Q618"/>
  <c r="Q619"/>
  <c r="Q620"/>
  <c r="Q621"/>
  <c r="Q622"/>
  <c r="Q623"/>
  <c r="Q624"/>
  <c r="Q625"/>
  <c r="Q626"/>
  <c r="Q627"/>
  <c r="Q628"/>
  <c r="Q629"/>
  <c r="Q630"/>
  <c r="Q631"/>
  <c r="Q638"/>
  <c r="Q641"/>
  <c r="Q647"/>
  <c r="R647" s="1"/>
  <c r="Q648"/>
  <c r="R648" s="1"/>
  <c r="Q649"/>
  <c r="Q650"/>
  <c r="R650" s="1"/>
  <c r="Q652"/>
  <c r="Q653"/>
  <c r="R653" s="1"/>
  <c r="Q658"/>
  <c r="R658" s="1"/>
  <c r="Q659"/>
  <c r="R659" s="1"/>
  <c r="Q660"/>
  <c r="Q661"/>
  <c r="Q662"/>
  <c r="Q663"/>
  <c r="Q664"/>
  <c r="Q665"/>
  <c r="Q666"/>
  <c r="Q667"/>
  <c r="Q668"/>
  <c r="Q669"/>
  <c r="Q670"/>
  <c r="Q671"/>
  <c r="Q672"/>
  <c r="Q673"/>
  <c r="Q674"/>
  <c r="Q679"/>
  <c r="R679" s="1"/>
  <c r="Q680"/>
  <c r="R680" s="1"/>
  <c r="Q681"/>
  <c r="R681" s="1"/>
  <c r="Q683"/>
  <c r="R683" s="1"/>
  <c r="Q684"/>
  <c r="R684" s="1"/>
  <c r="Q689"/>
  <c r="R689" s="1"/>
  <c r="Q690"/>
  <c r="R690" s="1"/>
  <c r="Q691"/>
  <c r="R691" s="1"/>
  <c r="Q693"/>
  <c r="R693" s="1"/>
  <c r="Q698"/>
  <c r="R698" s="1"/>
  <c r="Q699"/>
  <c r="R699" s="1"/>
  <c r="Q700"/>
  <c r="Q701"/>
  <c r="Q702"/>
  <c r="Q707"/>
  <c r="R707" s="1"/>
  <c r="Q708"/>
  <c r="R708" s="1"/>
  <c r="Q709"/>
  <c r="Q710"/>
  <c r="Q714"/>
  <c r="R714" s="1"/>
  <c r="Q715"/>
  <c r="Q720"/>
  <c r="R720" s="1"/>
  <c r="Q721"/>
  <c r="R721" s="1"/>
  <c r="Q722"/>
  <c r="Q723"/>
  <c r="Q724"/>
  <c r="Q725"/>
  <c r="Q729"/>
  <c r="R729" s="1"/>
  <c r="Q730"/>
  <c r="Q734"/>
  <c r="R734" s="1"/>
  <c r="Q741"/>
  <c r="Q744"/>
  <c r="Q747"/>
  <c r="Q749"/>
  <c r="Q753"/>
  <c r="R753" s="1"/>
  <c r="Q754"/>
  <c r="R754" s="1"/>
  <c r="Q756"/>
  <c r="Q757"/>
  <c r="R757" s="1"/>
  <c r="Q758"/>
  <c r="R758" s="1"/>
  <c r="Q759"/>
  <c r="Q761"/>
  <c r="Q763"/>
  <c r="R763" s="1"/>
  <c r="Q764"/>
  <c r="R764" s="1"/>
  <c r="Q767"/>
  <c r="Q768"/>
  <c r="Q769"/>
  <c r="Q770"/>
  <c r="Q771"/>
  <c r="Q772"/>
  <c r="Q773"/>
  <c r="Q774"/>
  <c r="Q775"/>
  <c r="Q776"/>
  <c r="Q780"/>
  <c r="R780" s="1"/>
  <c r="Q781"/>
  <c r="R781" s="1"/>
  <c r="Q782"/>
  <c r="Q783"/>
  <c r="Q784"/>
  <c r="Q785"/>
  <c r="Q786"/>
  <c r="Q787"/>
  <c r="Q788"/>
  <c r="Q791"/>
  <c r="R791" s="1"/>
  <c r="Q792"/>
  <c r="R792" s="1"/>
  <c r="Q793"/>
  <c r="R793" s="1"/>
  <c r="Q796"/>
  <c r="R796" s="1"/>
  <c r="Q797"/>
  <c r="R797" s="1"/>
  <c r="Q798"/>
  <c r="R798" s="1"/>
  <c r="Q801"/>
  <c r="R801" s="1"/>
  <c r="Q802"/>
  <c r="R802" s="1"/>
  <c r="Q803"/>
  <c r="R803" s="1"/>
  <c r="Q806"/>
  <c r="R806" s="1"/>
  <c r="Q807"/>
  <c r="R807" s="1"/>
  <c r="Q808"/>
  <c r="R808" s="1"/>
  <c r="Q812"/>
  <c r="R812" s="1"/>
  <c r="Q813"/>
  <c r="R813" s="1"/>
  <c r="Q814"/>
  <c r="R814" s="1"/>
  <c r="Q818"/>
  <c r="R818" s="1"/>
  <c r="Q819"/>
  <c r="R819" s="1"/>
  <c r="Q820"/>
  <c r="R820" s="1"/>
  <c r="Q824"/>
  <c r="R824" s="1"/>
  <c r="Q825"/>
  <c r="R825" s="1"/>
  <c r="Q826"/>
  <c r="R826" s="1"/>
  <c r="Q830"/>
  <c r="R830" s="1"/>
  <c r="Q831"/>
  <c r="R831" s="1"/>
  <c r="Q832"/>
  <c r="Q838"/>
  <c r="Q839"/>
  <c r="Q840"/>
  <c r="Q844"/>
  <c r="R844" s="1"/>
  <c r="Q845"/>
  <c r="R845" s="1"/>
  <c r="Q846"/>
  <c r="Q847"/>
  <c r="Q851"/>
  <c r="R851" s="1"/>
  <c r="Q852"/>
  <c r="R852" s="1"/>
  <c r="Q853"/>
  <c r="Q854"/>
  <c r="Q858"/>
  <c r="R858" s="1"/>
  <c r="Q859"/>
  <c r="R859" s="1"/>
  <c r="Q860"/>
  <c r="Q861"/>
  <c r="Q862"/>
  <c r="Q866"/>
  <c r="R866" s="1"/>
  <c r="Q867"/>
  <c r="R867" s="1"/>
  <c r="Q868"/>
  <c r="Q869"/>
  <c r="Q873"/>
  <c r="R873" s="1"/>
  <c r="Q874"/>
  <c r="R874" s="1"/>
  <c r="Q875"/>
  <c r="Q876"/>
  <c r="Q880"/>
  <c r="R880" s="1"/>
  <c r="Q881"/>
  <c r="R881" s="1"/>
  <c r="Q882"/>
  <c r="Q883"/>
  <c r="Q884"/>
  <c r="Q885"/>
  <c r="Q886"/>
  <c r="Q887"/>
  <c r="Q888"/>
  <c r="Q892"/>
  <c r="R892" s="1"/>
  <c r="Q893"/>
  <c r="R893" s="1"/>
  <c r="Q894"/>
  <c r="Q895"/>
  <c r="Q899"/>
  <c r="R899" s="1"/>
  <c r="Q900"/>
  <c r="R900" s="1"/>
  <c r="Q901"/>
  <c r="Q902"/>
  <c r="Q907"/>
  <c r="Q914"/>
  <c r="R914" s="1"/>
  <c r="Q915"/>
  <c r="R915" s="1"/>
  <c r="Q916"/>
  <c r="Q917"/>
  <c r="Q918"/>
  <c r="Q923"/>
  <c r="R923" s="1"/>
  <c r="Q924"/>
  <c r="R924" s="1"/>
  <c r="Q925"/>
  <c r="Q927"/>
  <c r="R927" s="1"/>
  <c r="Q932"/>
  <c r="R932" s="1"/>
  <c r="Q933"/>
  <c r="R933" s="1"/>
  <c r="Q934"/>
  <c r="R934" s="1"/>
  <c r="Q935"/>
  <c r="R935" s="1"/>
  <c r="Q937"/>
  <c r="R937" s="1"/>
  <c r="Q942"/>
  <c r="R942" s="1"/>
  <c r="Q943"/>
  <c r="Q944"/>
  <c r="Q945"/>
  <c r="Q946"/>
  <c r="Q951"/>
  <c r="R951" s="1"/>
  <c r="Q952"/>
  <c r="R952" s="1"/>
  <c r="Q953"/>
  <c r="Q954"/>
  <c r="Q958"/>
  <c r="R958" s="1"/>
  <c r="Q959"/>
  <c r="Q960"/>
  <c r="Q961"/>
  <c r="Q962"/>
  <c r="Q963"/>
  <c r="Q970"/>
  <c r="Q971"/>
  <c r="Q972"/>
  <c r="Q973"/>
  <c r="R973" s="1"/>
  <c r="Q980"/>
  <c r="Q981"/>
  <c r="Q986"/>
  <c r="R986" s="1"/>
  <c r="Q987"/>
  <c r="R987" s="1"/>
  <c r="Q988"/>
  <c r="Q990"/>
  <c r="R990" s="1"/>
  <c r="Q991"/>
  <c r="Q992"/>
  <c r="Q993"/>
  <c r="Q994"/>
  <c r="Q995"/>
  <c r="Q996"/>
  <c r="Q997"/>
  <c r="Q998"/>
  <c r="Q999"/>
  <c r="Q1000"/>
  <c r="Q1001"/>
  <c r="Q1002"/>
  <c r="Q1003"/>
  <c r="Q1004"/>
  <c r="Q1005"/>
  <c r="Q1006"/>
  <c r="Q1007"/>
  <c r="Q1008"/>
  <c r="Q1009"/>
  <c r="Q1010"/>
  <c r="Q1011"/>
  <c r="Q1012"/>
  <c r="Q1013"/>
  <c r="Q1018"/>
  <c r="Q1019"/>
  <c r="Q1020"/>
  <c r="Q1021"/>
  <c r="Q1022"/>
  <c r="Q1023"/>
  <c r="Q1024"/>
  <c r="Q1025"/>
  <c r="Q1026"/>
  <c r="Q1027"/>
  <c r="Q1028"/>
  <c r="Q1029"/>
  <c r="Q1033"/>
  <c r="R1033" s="1"/>
  <c r="Q1037"/>
  <c r="Q1039"/>
  <c r="Q1040"/>
  <c r="Q1041"/>
  <c r="Q1044"/>
  <c r="Q1045"/>
  <c r="Q1048"/>
  <c r="Q1053"/>
  <c r="Q1058"/>
  <c r="R1058" s="1"/>
  <c r="Q1062"/>
  <c r="R1062" s="1"/>
  <c r="Q1063"/>
  <c r="Q1064"/>
  <c r="Q1065"/>
  <c r="Q1066"/>
  <c r="Q1067"/>
  <c r="Q1068"/>
  <c r="Q1069"/>
  <c r="Q1070"/>
  <c r="Q1071"/>
  <c r="Q1072"/>
  <c r="Q1073"/>
  <c r="Q1074"/>
  <c r="Q1075"/>
  <c r="Q1076"/>
  <c r="Q1077"/>
  <c r="Q1078"/>
  <c r="Q1079"/>
  <c r="Q1083"/>
  <c r="Q1085"/>
  <c r="Q1087"/>
  <c r="Q1090"/>
  <c r="Q1094"/>
  <c r="Q1095"/>
  <c r="R1095" s="1"/>
  <c r="Q1096"/>
  <c r="Q1097"/>
  <c r="Q1098"/>
  <c r="Q1102"/>
  <c r="Q1103"/>
  <c r="Q1104"/>
  <c r="Q1105"/>
  <c r="Q1106"/>
  <c r="Q1107"/>
  <c r="Q1108"/>
  <c r="Q1109"/>
  <c r="Q1110"/>
  <c r="R1110" s="1"/>
  <c r="Q1111"/>
  <c r="R1111" s="1"/>
  <c r="Q1112"/>
  <c r="R1112" s="1"/>
  <c r="Q1116"/>
  <c r="R1116" s="1"/>
  <c r="Q1117"/>
  <c r="R1117" s="1"/>
  <c r="Q1118"/>
  <c r="R1118" s="1"/>
  <c r="Q1122"/>
  <c r="R1122" s="1"/>
  <c r="Q1123"/>
  <c r="R1123" s="1"/>
  <c r="Q1124"/>
  <c r="R1124" s="1"/>
  <c r="Q1125"/>
  <c r="Q1126"/>
  <c r="Q1127"/>
  <c r="Q1128"/>
  <c r="Q1129"/>
  <c r="Q1130"/>
  <c r="Q1131"/>
  <c r="Q1132"/>
  <c r="Q1133"/>
  <c r="Q1134"/>
  <c r="Q1135"/>
  <c r="P1133"/>
  <c r="P1132" s="1"/>
  <c r="P1131" s="1"/>
  <c r="P1127"/>
  <c r="P1126"/>
  <c r="P1125"/>
  <c r="P1121"/>
  <c r="P1120" s="1"/>
  <c r="P1119" s="1"/>
  <c r="P1115"/>
  <c r="P1114" s="1"/>
  <c r="P1113" s="1"/>
  <c r="P1101"/>
  <c r="P1100" s="1"/>
  <c r="P1093"/>
  <c r="P1085"/>
  <c r="P1061"/>
  <c r="P1060" s="1"/>
  <c r="P1057"/>
  <c r="P1054" s="1"/>
  <c r="P1055"/>
  <c r="P1043" s="1"/>
  <c r="P240" s="1"/>
  <c r="P1052"/>
  <c r="P1044"/>
  <c r="P1041"/>
  <c r="P1032"/>
  <c r="P1016" s="1"/>
  <c r="P1017"/>
  <c r="P1012"/>
  <c r="P1011" s="1"/>
  <c r="P1008"/>
  <c r="P1002"/>
  <c r="P1000" s="1"/>
  <c r="P1001"/>
  <c r="P996"/>
  <c r="P995"/>
  <c r="P994" s="1"/>
  <c r="P992"/>
  <c r="P991" s="1"/>
  <c r="P989"/>
  <c r="P985"/>
  <c r="P984" s="1"/>
  <c r="P975" s="1"/>
  <c r="P982"/>
  <c r="P973" s="1"/>
  <c r="P978"/>
  <c r="P968" s="1"/>
  <c r="P977"/>
  <c r="P967" s="1"/>
  <c r="P976"/>
  <c r="P961"/>
  <c r="P960"/>
  <c r="P959"/>
  <c r="P957"/>
  <c r="P956" s="1"/>
  <c r="P955" s="1"/>
  <c r="P953"/>
  <c r="P950"/>
  <c r="P949" s="1"/>
  <c r="P948" s="1"/>
  <c r="P947" s="1"/>
  <c r="P945"/>
  <c r="P941"/>
  <c r="P940" s="1"/>
  <c r="P939" s="1"/>
  <c r="P938" s="1"/>
  <c r="P936"/>
  <c r="P931"/>
  <c r="P930" s="1"/>
  <c r="P929" s="1"/>
  <c r="P928" s="1"/>
  <c r="P926"/>
  <c r="P922"/>
  <c r="P921" s="1"/>
  <c r="P920" s="1"/>
  <c r="P919" s="1"/>
  <c r="P917"/>
  <c r="P913"/>
  <c r="P912" s="1"/>
  <c r="P911" s="1"/>
  <c r="P909"/>
  <c r="P746" s="1"/>
  <c r="P907"/>
  <c r="P744" s="1"/>
  <c r="P901"/>
  <c r="P898"/>
  <c r="P897" s="1"/>
  <c r="P896" s="1"/>
  <c r="P894"/>
  <c r="P891"/>
  <c r="P890" s="1"/>
  <c r="P889" s="1"/>
  <c r="P882"/>
  <c r="P879"/>
  <c r="P878" s="1"/>
  <c r="P877" s="1"/>
  <c r="P875"/>
  <c r="P872"/>
  <c r="P871" s="1"/>
  <c r="P870" s="1"/>
  <c r="P868"/>
  <c r="P865"/>
  <c r="P864" s="1"/>
  <c r="P863" s="1"/>
  <c r="P861"/>
  <c r="P857"/>
  <c r="P856" s="1"/>
  <c r="P855" s="1"/>
  <c r="P853"/>
  <c r="P839" s="1"/>
  <c r="P850"/>
  <c r="P849" s="1"/>
  <c r="P848" s="1"/>
  <c r="P843"/>
  <c r="P840"/>
  <c r="P749" s="1"/>
  <c r="P470" s="1"/>
  <c r="P838"/>
  <c r="P837"/>
  <c r="P739" s="1"/>
  <c r="P836"/>
  <c r="P738" s="1"/>
  <c r="P829"/>
  <c r="P828" s="1"/>
  <c r="P827" s="1"/>
  <c r="P823"/>
  <c r="P821" s="1"/>
  <c r="P817"/>
  <c r="P815" s="1"/>
  <c r="P811"/>
  <c r="P810" s="1"/>
  <c r="P809" s="1"/>
  <c r="P805"/>
  <c r="P804" s="1"/>
  <c r="P800"/>
  <c r="P799" s="1"/>
  <c r="P795"/>
  <c r="P794" s="1"/>
  <c r="P790"/>
  <c r="P789" s="1"/>
  <c r="P785"/>
  <c r="P784"/>
  <c r="P783" s="1"/>
  <c r="P779"/>
  <c r="P778" s="1"/>
  <c r="P777" s="1"/>
  <c r="P762"/>
  <c r="P760" s="1"/>
  <c r="P755"/>
  <c r="P742" s="1"/>
  <c r="P743"/>
  <c r="P741"/>
  <c r="P733"/>
  <c r="P732"/>
  <c r="P731" s="1"/>
  <c r="P728"/>
  <c r="P727"/>
  <c r="P726" s="1"/>
  <c r="P723"/>
  <c r="P719"/>
  <c r="P718" s="1"/>
  <c r="P717" s="1"/>
  <c r="P716" s="1"/>
  <c r="P713"/>
  <c r="P712" s="1"/>
  <c r="P711" s="1"/>
  <c r="P709"/>
  <c r="P706"/>
  <c r="P705" s="1"/>
  <c r="P704" s="1"/>
  <c r="P703" s="1"/>
  <c r="P701"/>
  <c r="P697"/>
  <c r="P696" s="1"/>
  <c r="P695" s="1"/>
  <c r="P694" s="1"/>
  <c r="P692"/>
  <c r="P688"/>
  <c r="P687" s="1"/>
  <c r="P686" s="1"/>
  <c r="P685" s="1"/>
  <c r="P682"/>
  <c r="P678"/>
  <c r="P677" s="1"/>
  <c r="P676" s="1"/>
  <c r="P671"/>
  <c r="P670"/>
  <c r="P669" s="1"/>
  <c r="P661"/>
  <c r="P657"/>
  <c r="P656" s="1"/>
  <c r="P655" s="1"/>
  <c r="P654" s="1"/>
  <c r="P651"/>
  <c r="P639" s="1"/>
  <c r="P646"/>
  <c r="P645" s="1"/>
  <c r="P642"/>
  <c r="P641"/>
  <c r="P640"/>
  <c r="P638"/>
  <c r="P637"/>
  <c r="P635"/>
  <c r="P630"/>
  <c r="P629"/>
  <c r="P627"/>
  <c r="P626"/>
  <c r="P624"/>
  <c r="P623" s="1"/>
  <c r="P621"/>
  <c r="P620" s="1"/>
  <c r="P618"/>
  <c r="P617"/>
  <c r="P615"/>
  <c r="P614"/>
  <c r="P610"/>
  <c r="P609" s="1"/>
  <c r="P608" s="1"/>
  <c r="P607" s="1"/>
  <c r="P604"/>
  <c r="P603" s="1"/>
  <c r="P602" s="1"/>
  <c r="P601" s="1"/>
  <c r="P598"/>
  <c r="P597" s="1"/>
  <c r="P596" s="1"/>
  <c r="P595" s="1"/>
  <c r="P592"/>
  <c r="P591" s="1"/>
  <c r="P590" s="1"/>
  <c r="P589" s="1"/>
  <c r="P586"/>
  <c r="P576"/>
  <c r="P574"/>
  <c r="P573" s="1"/>
  <c r="P572" s="1"/>
  <c r="P568"/>
  <c r="P562"/>
  <c r="P561" s="1"/>
  <c r="P560" s="1"/>
  <c r="P556"/>
  <c r="P555" s="1"/>
  <c r="P554" s="1"/>
  <c r="P23" s="1"/>
  <c r="P552"/>
  <c r="P545"/>
  <c r="P544" s="1"/>
  <c r="P543" s="1"/>
  <c r="P541"/>
  <c r="P534"/>
  <c r="P533" s="1"/>
  <c r="P530"/>
  <c r="P523"/>
  <c r="P522" s="1"/>
  <c r="P521" s="1"/>
  <c r="P519"/>
  <c r="P512"/>
  <c r="P511" s="1"/>
  <c r="P510" s="1"/>
  <c r="P504"/>
  <c r="P491" s="1"/>
  <c r="P480" s="1"/>
  <c r="P496"/>
  <c r="P495" s="1"/>
  <c r="P493"/>
  <c r="P490"/>
  <c r="P478" s="1"/>
  <c r="Q478" s="1"/>
  <c r="P489"/>
  <c r="P488"/>
  <c r="P475" s="1"/>
  <c r="P486"/>
  <c r="P474" s="1"/>
  <c r="P482"/>
  <c r="P479"/>
  <c r="P462" s="1"/>
  <c r="P476"/>
  <c r="P468"/>
  <c r="P241" s="1"/>
  <c r="P465"/>
  <c r="P464"/>
  <c r="P237" s="1"/>
  <c r="P459"/>
  <c r="P449"/>
  <c r="P445"/>
  <c r="P440"/>
  <c r="P436" s="1"/>
  <c r="P438"/>
  <c r="P437" s="1"/>
  <c r="P432"/>
  <c r="P425" s="1"/>
  <c r="P429"/>
  <c r="P428" s="1"/>
  <c r="P423"/>
  <c r="P422"/>
  <c r="P421"/>
  <c r="P415"/>
  <c r="P413" s="1"/>
  <c r="P411" s="1"/>
  <c r="P400"/>
  <c r="P399" s="1"/>
  <c r="P395"/>
  <c r="P391"/>
  <c r="P252" s="1"/>
  <c r="P386"/>
  <c r="P385" s="1"/>
  <c r="P384" s="1"/>
  <c r="P379"/>
  <c r="P378" s="1"/>
  <c r="P377" s="1"/>
  <c r="P373"/>
  <c r="P372" s="1"/>
  <c r="P371" s="1"/>
  <c r="P367"/>
  <c r="P285" s="1"/>
  <c r="P361"/>
  <c r="P360" s="1"/>
  <c r="P359" s="1"/>
  <c r="P355"/>
  <c r="P354" s="1"/>
  <c r="P353" s="1"/>
  <c r="P331"/>
  <c r="P330" s="1"/>
  <c r="P329" s="1"/>
  <c r="P325"/>
  <c r="P324" s="1"/>
  <c r="P323" s="1"/>
  <c r="P319"/>
  <c r="P318" s="1"/>
  <c r="P317" s="1"/>
  <c r="P313"/>
  <c r="P312" s="1"/>
  <c r="P311" s="1"/>
  <c r="P307"/>
  <c r="P306" s="1"/>
  <c r="P305" s="1"/>
  <c r="P264"/>
  <c r="P288"/>
  <c r="P287"/>
  <c r="P286"/>
  <c r="P284"/>
  <c r="P283"/>
  <c r="P102" s="1"/>
  <c r="P101" s="1"/>
  <c r="P282"/>
  <c r="P249"/>
  <c r="P267"/>
  <c r="P255"/>
  <c r="P254"/>
  <c r="P253"/>
  <c r="P251"/>
  <c r="P228" s="1"/>
  <c r="P248"/>
  <c r="P238"/>
  <c r="P230"/>
  <c r="P227"/>
  <c r="P201"/>
  <c r="P199"/>
  <c r="P196"/>
  <c r="P193"/>
  <c r="P178"/>
  <c r="P177"/>
  <c r="P166"/>
  <c r="P187" s="1"/>
  <c r="P186" s="1"/>
  <c r="P165"/>
  <c r="P163"/>
  <c r="P161" s="1"/>
  <c r="P160"/>
  <c r="P159" s="1"/>
  <c r="P158"/>
  <c r="P156"/>
  <c r="P155"/>
  <c r="P153"/>
  <c r="P152" s="1"/>
  <c r="P150"/>
  <c r="P146"/>
  <c r="P145"/>
  <c r="P144"/>
  <c r="P141"/>
  <c r="P140"/>
  <c r="P138"/>
  <c r="P136"/>
  <c r="P131"/>
  <c r="P130"/>
  <c r="P129"/>
  <c r="P126"/>
  <c r="P125"/>
  <c r="P117"/>
  <c r="P110"/>
  <c r="P109" s="1"/>
  <c r="P215" s="1"/>
  <c r="P106"/>
  <c r="P212" s="1"/>
  <c r="P211" s="1"/>
  <c r="P98"/>
  <c r="P77"/>
  <c r="P67"/>
  <c r="P65"/>
  <c r="P62"/>
  <c r="P58"/>
  <c r="P56"/>
  <c r="P51"/>
  <c r="P49"/>
  <c r="P44" s="1"/>
  <c r="P147" s="1"/>
  <c r="P40"/>
  <c r="P31"/>
  <c r="P135" s="1"/>
  <c r="P15"/>
  <c r="P13"/>
  <c r="P123" s="1"/>
  <c r="P122" s="1"/>
  <c r="O1133"/>
  <c r="O1132" s="1"/>
  <c r="O1131" s="1"/>
  <c r="O1127"/>
  <c r="O1126"/>
  <c r="O1125"/>
  <c r="O1121"/>
  <c r="O1120" s="1"/>
  <c r="O1119" s="1"/>
  <c r="O1115"/>
  <c r="O1114" s="1"/>
  <c r="O1113" s="1"/>
  <c r="O1101"/>
  <c r="O1100" s="1"/>
  <c r="O1093"/>
  <c r="O1085"/>
  <c r="O1041" s="1"/>
  <c r="O227" s="1"/>
  <c r="O1084"/>
  <c r="O1061"/>
  <c r="O1060" s="1"/>
  <c r="O1057"/>
  <c r="O1056" s="1"/>
  <c r="O1055"/>
  <c r="O1054"/>
  <c r="O1052"/>
  <c r="O1044"/>
  <c r="O1043"/>
  <c r="O240" s="1"/>
  <c r="O1032"/>
  <c r="O1016" s="1"/>
  <c r="O1017"/>
  <c r="O1012"/>
  <c r="O1011" s="1"/>
  <c r="O1008"/>
  <c r="O1004" s="1"/>
  <c r="O1002"/>
  <c r="O1000" s="1"/>
  <c r="O996"/>
  <c r="O995" s="1"/>
  <c r="O994" s="1"/>
  <c r="O992"/>
  <c r="O991" s="1"/>
  <c r="O989"/>
  <c r="O985"/>
  <c r="O984" s="1"/>
  <c r="O975" s="1"/>
  <c r="O982"/>
  <c r="O978"/>
  <c r="O977"/>
  <c r="O967" s="1"/>
  <c r="O973"/>
  <c r="O961"/>
  <c r="O960"/>
  <c r="O959" s="1"/>
  <c r="O957"/>
  <c r="O956" s="1"/>
  <c r="O955" s="1"/>
  <c r="O953"/>
  <c r="O950"/>
  <c r="O949" s="1"/>
  <c r="O948" s="1"/>
  <c r="O947" s="1"/>
  <c r="O945"/>
  <c r="O941"/>
  <c r="O940" s="1"/>
  <c r="O939" s="1"/>
  <c r="O938" s="1"/>
  <c r="O936"/>
  <c r="O931"/>
  <c r="O930" s="1"/>
  <c r="O929" s="1"/>
  <c r="O926"/>
  <c r="O922"/>
  <c r="O921" s="1"/>
  <c r="O920" s="1"/>
  <c r="O917"/>
  <c r="O913"/>
  <c r="O909"/>
  <c r="O746" s="1"/>
  <c r="O907"/>
  <c r="O901"/>
  <c r="O898"/>
  <c r="O897" s="1"/>
  <c r="O896" s="1"/>
  <c r="O894"/>
  <c r="O891"/>
  <c r="O890" s="1"/>
  <c r="O889" s="1"/>
  <c r="O882"/>
  <c r="O879"/>
  <c r="O878" s="1"/>
  <c r="O877" s="1"/>
  <c r="O875"/>
  <c r="O872"/>
  <c r="O871" s="1"/>
  <c r="O870" s="1"/>
  <c r="O868"/>
  <c r="O865"/>
  <c r="O864" s="1"/>
  <c r="O863" s="1"/>
  <c r="O861"/>
  <c r="O857"/>
  <c r="O856" s="1"/>
  <c r="O855" s="1"/>
  <c r="O853"/>
  <c r="O839" s="1"/>
  <c r="O850"/>
  <c r="O849" s="1"/>
  <c r="O848" s="1"/>
  <c r="O843"/>
  <c r="O840"/>
  <c r="O838"/>
  <c r="O837"/>
  <c r="O739" s="1"/>
  <c r="O836"/>
  <c r="O738" s="1"/>
  <c r="O829"/>
  <c r="O828" s="1"/>
  <c r="O827" s="1"/>
  <c r="O823"/>
  <c r="O821" s="1"/>
  <c r="O817"/>
  <c r="O815" s="1"/>
  <c r="O811"/>
  <c r="O810" s="1"/>
  <c r="O809" s="1"/>
  <c r="O805"/>
  <c r="O804" s="1"/>
  <c r="O800"/>
  <c r="O799" s="1"/>
  <c r="O795"/>
  <c r="O794" s="1"/>
  <c r="O790"/>
  <c r="O789" s="1"/>
  <c r="O785"/>
  <c r="O784"/>
  <c r="O783"/>
  <c r="O779"/>
  <c r="O778" s="1"/>
  <c r="O777" s="1"/>
  <c r="O762"/>
  <c r="O760" s="1"/>
  <c r="O84" s="1"/>
  <c r="O176" s="1"/>
  <c r="O755"/>
  <c r="O752" s="1"/>
  <c r="O749"/>
  <c r="O744"/>
  <c r="O743"/>
  <c r="O741"/>
  <c r="O733"/>
  <c r="O732"/>
  <c r="O731" s="1"/>
  <c r="O728"/>
  <c r="O727"/>
  <c r="O726" s="1"/>
  <c r="O723"/>
  <c r="O719"/>
  <c r="O718" s="1"/>
  <c r="O717" s="1"/>
  <c r="O716" s="1"/>
  <c r="O713"/>
  <c r="O712" s="1"/>
  <c r="O711" s="1"/>
  <c r="O709"/>
  <c r="O706"/>
  <c r="O705" s="1"/>
  <c r="O704" s="1"/>
  <c r="O703" s="1"/>
  <c r="O701"/>
  <c r="O697"/>
  <c r="O696" s="1"/>
  <c r="O695" s="1"/>
  <c r="O694" s="1"/>
  <c r="O692"/>
  <c r="O688"/>
  <c r="O687" s="1"/>
  <c r="O686" s="1"/>
  <c r="O685" s="1"/>
  <c r="O682"/>
  <c r="O678"/>
  <c r="O677" s="1"/>
  <c r="O676" s="1"/>
  <c r="O671"/>
  <c r="O670"/>
  <c r="O669" s="1"/>
  <c r="O661"/>
  <c r="O657"/>
  <c r="O656" s="1"/>
  <c r="O655" s="1"/>
  <c r="O654" s="1"/>
  <c r="O651"/>
  <c r="O646"/>
  <c r="O645" s="1"/>
  <c r="O642"/>
  <c r="O468" s="1"/>
  <c r="O241" s="1"/>
  <c r="O641"/>
  <c r="O640"/>
  <c r="O638"/>
  <c r="O637"/>
  <c r="O635"/>
  <c r="O630"/>
  <c r="O629"/>
  <c r="O627"/>
  <c r="O626"/>
  <c r="O624"/>
  <c r="O623" s="1"/>
  <c r="O621"/>
  <c r="O620"/>
  <c r="O618"/>
  <c r="O617" s="1"/>
  <c r="O615"/>
  <c r="O614"/>
  <c r="O610"/>
  <c r="O609" s="1"/>
  <c r="O608" s="1"/>
  <c r="O607" s="1"/>
  <c r="O604"/>
  <c r="O603" s="1"/>
  <c r="O602" s="1"/>
  <c r="O601" s="1"/>
  <c r="O598"/>
  <c r="O597" s="1"/>
  <c r="O596" s="1"/>
  <c r="O595" s="1"/>
  <c r="O592"/>
  <c r="O591" s="1"/>
  <c r="O590" s="1"/>
  <c r="O589" s="1"/>
  <c r="O586"/>
  <c r="O585" s="1"/>
  <c r="O576"/>
  <c r="O574"/>
  <c r="O573" s="1"/>
  <c r="O572" s="1"/>
  <c r="O568"/>
  <c r="O562"/>
  <c r="O561" s="1"/>
  <c r="O560" s="1"/>
  <c r="O556"/>
  <c r="O555" s="1"/>
  <c r="O554" s="1"/>
  <c r="O23" s="1"/>
  <c r="O552"/>
  <c r="O545"/>
  <c r="O544" s="1"/>
  <c r="O543" s="1"/>
  <c r="O541"/>
  <c r="O534"/>
  <c r="O533" s="1"/>
  <c r="O532" s="1"/>
  <c r="O530"/>
  <c r="O523"/>
  <c r="O522" s="1"/>
  <c r="O521" s="1"/>
  <c r="O519"/>
  <c r="O512"/>
  <c r="O511" s="1"/>
  <c r="O510" s="1"/>
  <c r="O504"/>
  <c r="O496"/>
  <c r="O495" s="1"/>
  <c r="O494" s="1"/>
  <c r="O493"/>
  <c r="O491"/>
  <c r="O490"/>
  <c r="O478" s="1"/>
  <c r="O489"/>
  <c r="O488"/>
  <c r="O475" s="1"/>
  <c r="O486"/>
  <c r="O474" s="1"/>
  <c r="O482"/>
  <c r="O470" s="1"/>
  <c r="O480"/>
  <c r="O479"/>
  <c r="O476"/>
  <c r="O465"/>
  <c r="O464"/>
  <c r="O237" s="1"/>
  <c r="O462"/>
  <c r="O459"/>
  <c r="O449"/>
  <c r="O445"/>
  <c r="O444" s="1"/>
  <c r="O440"/>
  <c r="O438"/>
  <c r="O437" s="1"/>
  <c r="O432"/>
  <c r="O425" s="1"/>
  <c r="O429"/>
  <c r="O428" s="1"/>
  <c r="O423"/>
  <c r="O422"/>
  <c r="O421"/>
  <c r="O415"/>
  <c r="O250" s="1"/>
  <c r="O226" s="1"/>
  <c r="O400"/>
  <c r="O399" s="1"/>
  <c r="O398" s="1"/>
  <c r="O397" s="1"/>
  <c r="O395"/>
  <c r="O391"/>
  <c r="O252" s="1"/>
  <c r="O386"/>
  <c r="O385" s="1"/>
  <c r="O384" s="1"/>
  <c r="O379"/>
  <c r="O378" s="1"/>
  <c r="O377" s="1"/>
  <c r="O373"/>
  <c r="O372" s="1"/>
  <c r="O371" s="1"/>
  <c r="O367"/>
  <c r="O366" s="1"/>
  <c r="O365" s="1"/>
  <c r="O361"/>
  <c r="O360" s="1"/>
  <c r="O359" s="1"/>
  <c r="O355"/>
  <c r="O354" s="1"/>
  <c r="O353" s="1"/>
  <c r="O331"/>
  <c r="O330" s="1"/>
  <c r="O329" s="1"/>
  <c r="O325"/>
  <c r="O324" s="1"/>
  <c r="O323" s="1"/>
  <c r="O319"/>
  <c r="O318" s="1"/>
  <c r="O317" s="1"/>
  <c r="O313"/>
  <c r="O307"/>
  <c r="O306" s="1"/>
  <c r="O305" s="1"/>
  <c r="O288"/>
  <c r="O287"/>
  <c r="O106" s="1"/>
  <c r="O212" s="1"/>
  <c r="O211" s="1"/>
  <c r="O286"/>
  <c r="O284"/>
  <c r="O283"/>
  <c r="O102" s="1"/>
  <c r="O101" s="1"/>
  <c r="O282"/>
  <c r="O249"/>
  <c r="O264"/>
  <c r="O255"/>
  <c r="O254"/>
  <c r="O253"/>
  <c r="O230" s="1"/>
  <c r="O251"/>
  <c r="O228" s="1"/>
  <c r="O248"/>
  <c r="O238"/>
  <c r="O201"/>
  <c r="O199"/>
  <c r="O196"/>
  <c r="O193"/>
  <c r="O178"/>
  <c r="O177"/>
  <c r="O166"/>
  <c r="O187" s="1"/>
  <c r="O186" s="1"/>
  <c r="O165"/>
  <c r="O164" s="1"/>
  <c r="O163"/>
  <c r="O161" s="1"/>
  <c r="O160"/>
  <c r="O159" s="1"/>
  <c r="O158"/>
  <c r="O156"/>
  <c r="O155"/>
  <c r="O153"/>
  <c r="O152" s="1"/>
  <c r="O150"/>
  <c r="O146"/>
  <c r="O145"/>
  <c r="O144"/>
  <c r="O141"/>
  <c r="O140"/>
  <c r="O138"/>
  <c r="O136"/>
  <c r="O131"/>
  <c r="O130"/>
  <c r="O129"/>
  <c r="O126"/>
  <c r="O125"/>
  <c r="O117"/>
  <c r="O110"/>
  <c r="O109" s="1"/>
  <c r="O215" s="1"/>
  <c r="O98"/>
  <c r="O77"/>
  <c r="O67"/>
  <c r="O65"/>
  <c r="O62"/>
  <c r="O58"/>
  <c r="O56"/>
  <c r="O51"/>
  <c r="O49"/>
  <c r="O44" s="1"/>
  <c r="O147" s="1"/>
  <c r="O40"/>
  <c r="O31"/>
  <c r="O135" s="1"/>
  <c r="O15"/>
  <c r="O13"/>
  <c r="O123" s="1"/>
  <c r="O122" s="1"/>
  <c r="Q122" s="1"/>
  <c r="R122" s="1"/>
  <c r="N1133"/>
  <c r="N1132"/>
  <c r="N1131" s="1"/>
  <c r="N1127"/>
  <c r="N1126" s="1"/>
  <c r="N1125" s="1"/>
  <c r="N1121"/>
  <c r="N1120" s="1"/>
  <c r="N1119" s="1"/>
  <c r="N1115"/>
  <c r="N1114" s="1"/>
  <c r="N1113" s="1"/>
  <c r="N1101"/>
  <c r="N1100" s="1"/>
  <c r="N1093"/>
  <c r="N1085"/>
  <c r="N1041" s="1"/>
  <c r="N227" s="1"/>
  <c r="N1061"/>
  <c r="N1060" s="1"/>
  <c r="N1057"/>
  <c r="N1056" s="1"/>
  <c r="N1055"/>
  <c r="N1043" s="1"/>
  <c r="N240" s="1"/>
  <c r="N1054"/>
  <c r="N1052"/>
  <c r="N1044"/>
  <c r="N1032"/>
  <c r="N1016" s="1"/>
  <c r="N1017"/>
  <c r="N1012"/>
  <c r="N1011"/>
  <c r="N1008"/>
  <c r="N1004" s="1"/>
  <c r="N1002"/>
  <c r="N1000" s="1"/>
  <c r="N996"/>
  <c r="N995"/>
  <c r="N994" s="1"/>
  <c r="N992"/>
  <c r="N991" s="1"/>
  <c r="N989"/>
  <c r="N985"/>
  <c r="N976" s="1"/>
  <c r="N982"/>
  <c r="N973" s="1"/>
  <c r="N978"/>
  <c r="N977"/>
  <c r="N967" s="1"/>
  <c r="N961"/>
  <c r="N960" s="1"/>
  <c r="N959" s="1"/>
  <c r="N957"/>
  <c r="N956" s="1"/>
  <c r="N955" s="1"/>
  <c r="N953"/>
  <c r="N909" s="1"/>
  <c r="N746" s="1"/>
  <c r="N950"/>
  <c r="N945"/>
  <c r="N941"/>
  <c r="N940" s="1"/>
  <c r="N939" s="1"/>
  <c r="N938" s="1"/>
  <c r="N936"/>
  <c r="N931"/>
  <c r="N930" s="1"/>
  <c r="N929" s="1"/>
  <c r="N928" s="1"/>
  <c r="N926"/>
  <c r="N922"/>
  <c r="N921" s="1"/>
  <c r="N917"/>
  <c r="N913"/>
  <c r="N912" s="1"/>
  <c r="N911" s="1"/>
  <c r="N910" s="1"/>
  <c r="N907"/>
  <c r="N901"/>
  <c r="N898"/>
  <c r="N897" s="1"/>
  <c r="N896" s="1"/>
  <c r="N894"/>
  <c r="N839" s="1"/>
  <c r="N891"/>
  <c r="N890" s="1"/>
  <c r="N889" s="1"/>
  <c r="N882"/>
  <c r="N879"/>
  <c r="N878" s="1"/>
  <c r="N877" s="1"/>
  <c r="N875"/>
  <c r="N872"/>
  <c r="N871" s="1"/>
  <c r="N870" s="1"/>
  <c r="N868"/>
  <c r="N865"/>
  <c r="N864" s="1"/>
  <c r="N863" s="1"/>
  <c r="N861"/>
  <c r="N857"/>
  <c r="N856" s="1"/>
  <c r="N855" s="1"/>
  <c r="N853"/>
  <c r="N850"/>
  <c r="N849" s="1"/>
  <c r="N848" s="1"/>
  <c r="N843"/>
  <c r="N840"/>
  <c r="N749" s="1"/>
  <c r="N470" s="1"/>
  <c r="N838"/>
  <c r="N837"/>
  <c r="N739" s="1"/>
  <c r="N836"/>
  <c r="N738" s="1"/>
  <c r="N829"/>
  <c r="N828" s="1"/>
  <c r="N827" s="1"/>
  <c r="N823"/>
  <c r="N821" s="1"/>
  <c r="N817"/>
  <c r="N815" s="1"/>
  <c r="N811"/>
  <c r="N810" s="1"/>
  <c r="N809" s="1"/>
  <c r="N805"/>
  <c r="N800"/>
  <c r="N799" s="1"/>
  <c r="N795"/>
  <c r="N794" s="1"/>
  <c r="N790"/>
  <c r="N789" s="1"/>
  <c r="N785"/>
  <c r="N784" s="1"/>
  <c r="N783" s="1"/>
  <c r="N779"/>
  <c r="N778" s="1"/>
  <c r="N777" s="1"/>
  <c r="N762"/>
  <c r="N760" s="1"/>
  <c r="N84" s="1"/>
  <c r="N755"/>
  <c r="N752" s="1"/>
  <c r="N744"/>
  <c r="N743"/>
  <c r="N741"/>
  <c r="N733"/>
  <c r="N732"/>
  <c r="N731" s="1"/>
  <c r="N728"/>
  <c r="N727"/>
  <c r="N726" s="1"/>
  <c r="N723"/>
  <c r="N719"/>
  <c r="N718" s="1"/>
  <c r="N717" s="1"/>
  <c r="N716" s="1"/>
  <c r="N713"/>
  <c r="N712" s="1"/>
  <c r="N711" s="1"/>
  <c r="N709"/>
  <c r="N706"/>
  <c r="N705" s="1"/>
  <c r="N704" s="1"/>
  <c r="N703" s="1"/>
  <c r="N701"/>
  <c r="N697"/>
  <c r="N696" s="1"/>
  <c r="N695" s="1"/>
  <c r="N694" s="1"/>
  <c r="N692"/>
  <c r="N688"/>
  <c r="N687" s="1"/>
  <c r="N686" s="1"/>
  <c r="N685" s="1"/>
  <c r="N682"/>
  <c r="N678"/>
  <c r="N677" s="1"/>
  <c r="N676" s="1"/>
  <c r="N671"/>
  <c r="N670" s="1"/>
  <c r="N669" s="1"/>
  <c r="N661"/>
  <c r="N657"/>
  <c r="N656" s="1"/>
  <c r="N655" s="1"/>
  <c r="N654" s="1"/>
  <c r="N651"/>
  <c r="N646"/>
  <c r="N645" s="1"/>
  <c r="N641"/>
  <c r="N640"/>
  <c r="N466" s="1"/>
  <c r="N638"/>
  <c r="N637"/>
  <c r="N635"/>
  <c r="N630"/>
  <c r="N629" s="1"/>
  <c r="N627"/>
  <c r="N626"/>
  <c r="N624"/>
  <c r="N623" s="1"/>
  <c r="N621"/>
  <c r="N620" s="1"/>
  <c r="N618"/>
  <c r="N617"/>
  <c r="N615"/>
  <c r="N614" s="1"/>
  <c r="N610"/>
  <c r="N609" s="1"/>
  <c r="N608" s="1"/>
  <c r="N607" s="1"/>
  <c r="N604"/>
  <c r="N603" s="1"/>
  <c r="N602" s="1"/>
  <c r="N601" s="1"/>
  <c r="N598"/>
  <c r="N592"/>
  <c r="N591" s="1"/>
  <c r="N590" s="1"/>
  <c r="N589" s="1"/>
  <c r="N586"/>
  <c r="N585" s="1"/>
  <c r="N576"/>
  <c r="N574"/>
  <c r="N573" s="1"/>
  <c r="N572" s="1"/>
  <c r="N568"/>
  <c r="N562"/>
  <c r="N561" s="1"/>
  <c r="N560" s="1"/>
  <c r="N556"/>
  <c r="N555" s="1"/>
  <c r="N554" s="1"/>
  <c r="N552"/>
  <c r="N545"/>
  <c r="N544" s="1"/>
  <c r="N543" s="1"/>
  <c r="N541"/>
  <c r="N534"/>
  <c r="N533" s="1"/>
  <c r="N532" s="1"/>
  <c r="N530"/>
  <c r="N523"/>
  <c r="N522" s="1"/>
  <c r="N521" s="1"/>
  <c r="N519"/>
  <c r="N512"/>
  <c r="N511" s="1"/>
  <c r="N510" s="1"/>
  <c r="N504"/>
  <c r="N491" s="1"/>
  <c r="N480" s="1"/>
  <c r="N496"/>
  <c r="N495" s="1"/>
  <c r="N493"/>
  <c r="N490"/>
  <c r="N478" s="1"/>
  <c r="N489"/>
  <c r="N488"/>
  <c r="N475" s="1"/>
  <c r="N486"/>
  <c r="N474" s="1"/>
  <c r="N482"/>
  <c r="N479"/>
  <c r="N462" s="1"/>
  <c r="N476"/>
  <c r="N465"/>
  <c r="N464"/>
  <c r="N459"/>
  <c r="N449"/>
  <c r="N445"/>
  <c r="N444" s="1"/>
  <c r="N440"/>
  <c r="N438"/>
  <c r="N436" s="1"/>
  <c r="N432"/>
  <c r="N425" s="1"/>
  <c r="N429"/>
  <c r="N428" s="1"/>
  <c r="N423"/>
  <c r="N422"/>
  <c r="N421"/>
  <c r="N415"/>
  <c r="N413" s="1"/>
  <c r="N400"/>
  <c r="N399" s="1"/>
  <c r="N395"/>
  <c r="N391"/>
  <c r="N390" s="1"/>
  <c r="N389" s="1"/>
  <c r="N388" s="1"/>
  <c r="N386"/>
  <c r="N385" s="1"/>
  <c r="N384" s="1"/>
  <c r="N379"/>
  <c r="N378" s="1"/>
  <c r="N377" s="1"/>
  <c r="N373"/>
  <c r="N372" s="1"/>
  <c r="N371" s="1"/>
  <c r="N367"/>
  <c r="N285" s="1"/>
  <c r="N361"/>
  <c r="N360" s="1"/>
  <c r="N359" s="1"/>
  <c r="N355"/>
  <c r="N354" s="1"/>
  <c r="N353" s="1"/>
  <c r="N331"/>
  <c r="N330" s="1"/>
  <c r="N329" s="1"/>
  <c r="N325"/>
  <c r="N324" s="1"/>
  <c r="N323" s="1"/>
  <c r="N319"/>
  <c r="N318" s="1"/>
  <c r="N317" s="1"/>
  <c r="N313"/>
  <c r="N307"/>
  <c r="N306" s="1"/>
  <c r="N305" s="1"/>
  <c r="N264"/>
  <c r="N288"/>
  <c r="N287"/>
  <c r="N106" s="1"/>
  <c r="N212" s="1"/>
  <c r="N211" s="1"/>
  <c r="N286"/>
  <c r="N284"/>
  <c r="N283"/>
  <c r="N102" s="1"/>
  <c r="N101" s="1"/>
  <c r="N282"/>
  <c r="N267"/>
  <c r="N255"/>
  <c r="N254"/>
  <c r="N253"/>
  <c r="N251"/>
  <c r="N249"/>
  <c r="N248"/>
  <c r="N238"/>
  <c r="N237"/>
  <c r="N230"/>
  <c r="N228"/>
  <c r="N201"/>
  <c r="N199"/>
  <c r="N196"/>
  <c r="N193"/>
  <c r="N178"/>
  <c r="N177"/>
  <c r="N166"/>
  <c r="N187" s="1"/>
  <c r="N186" s="1"/>
  <c r="N165"/>
  <c r="N164" s="1"/>
  <c r="N163"/>
  <c r="N161" s="1"/>
  <c r="N160"/>
  <c r="N159" s="1"/>
  <c r="Q159" s="1"/>
  <c r="R159" s="1"/>
  <c r="N158"/>
  <c r="N156"/>
  <c r="N155"/>
  <c r="N153"/>
  <c r="N152" s="1"/>
  <c r="N150"/>
  <c r="N146"/>
  <c r="N145"/>
  <c r="N144"/>
  <c r="Q144" s="1"/>
  <c r="R144" s="1"/>
  <c r="N141"/>
  <c r="N140"/>
  <c r="N138"/>
  <c r="N136"/>
  <c r="N131"/>
  <c r="N130"/>
  <c r="N129"/>
  <c r="N126"/>
  <c r="N125"/>
  <c r="N124" s="1"/>
  <c r="N117"/>
  <c r="N110"/>
  <c r="N216" s="1"/>
  <c r="N109"/>
  <c r="N215" s="1"/>
  <c r="N98"/>
  <c r="N77"/>
  <c r="N67"/>
  <c r="N65"/>
  <c r="N62"/>
  <c r="N58"/>
  <c r="N56"/>
  <c r="Q56" s="1"/>
  <c r="R56" s="1"/>
  <c r="N51"/>
  <c r="N49"/>
  <c r="N44" s="1"/>
  <c r="N147" s="1"/>
  <c r="N40"/>
  <c r="N31"/>
  <c r="N135" s="1"/>
  <c r="N15"/>
  <c r="N13"/>
  <c r="N123" s="1"/>
  <c r="N122" s="1"/>
  <c r="M1204"/>
  <c r="M1195"/>
  <c r="M1193"/>
  <c r="M1192"/>
  <c r="M1191" s="1"/>
  <c r="M1186"/>
  <c r="M1179"/>
  <c r="M1168"/>
  <c r="M1167" s="1"/>
  <c r="M1164" s="1"/>
  <c r="M1165"/>
  <c r="M1160"/>
  <c r="M1152"/>
  <c r="M1151"/>
  <c r="M1148"/>
  <c r="M1146"/>
  <c r="M1143"/>
  <c r="M1141" s="1"/>
  <c r="M1140" s="1"/>
  <c r="M1133"/>
  <c r="M1132" s="1"/>
  <c r="M1131" s="1"/>
  <c r="M1127"/>
  <c r="M1126" s="1"/>
  <c r="M1125" s="1"/>
  <c r="M1121"/>
  <c r="M1120" s="1"/>
  <c r="M1119" s="1"/>
  <c r="M1115"/>
  <c r="M1114" s="1"/>
  <c r="M1113" s="1"/>
  <c r="M1101"/>
  <c r="M1100" s="1"/>
  <c r="Q1100" s="1"/>
  <c r="M1093"/>
  <c r="M1092" s="1"/>
  <c r="M1085"/>
  <c r="M1041" s="1"/>
  <c r="M227" s="1"/>
  <c r="M1084"/>
  <c r="M1061"/>
  <c r="Q1061" s="1"/>
  <c r="R1061" s="1"/>
  <c r="M1057"/>
  <c r="M1054" s="1"/>
  <c r="Q1054" s="1"/>
  <c r="R1054" s="1"/>
  <c r="M1055"/>
  <c r="M1043" s="1"/>
  <c r="M240" s="1"/>
  <c r="Q240" s="1"/>
  <c r="R240" s="1"/>
  <c r="M1052"/>
  <c r="M1044"/>
  <c r="M1032"/>
  <c r="M1016" s="1"/>
  <c r="Q1016" s="1"/>
  <c r="R1016" s="1"/>
  <c r="M1017"/>
  <c r="Q1017" s="1"/>
  <c r="R1017" s="1"/>
  <c r="M1012"/>
  <c r="M1011" s="1"/>
  <c r="M1008"/>
  <c r="M1004" s="1"/>
  <c r="M1002"/>
  <c r="M1000" s="1"/>
  <c r="M1001"/>
  <c r="M996"/>
  <c r="M995" s="1"/>
  <c r="M992"/>
  <c r="M991" s="1"/>
  <c r="M989"/>
  <c r="Q989" s="1"/>
  <c r="R989" s="1"/>
  <c r="M985"/>
  <c r="M984" s="1"/>
  <c r="M975" s="1"/>
  <c r="M982"/>
  <c r="M973" s="1"/>
  <c r="M978"/>
  <c r="M977"/>
  <c r="M967" s="1"/>
  <c r="M961"/>
  <c r="M960" s="1"/>
  <c r="M959" s="1"/>
  <c r="M957"/>
  <c r="M956" s="1"/>
  <c r="M955" s="1"/>
  <c r="M953"/>
  <c r="M950"/>
  <c r="Q950" s="1"/>
  <c r="R950" s="1"/>
  <c r="M945"/>
  <c r="M941"/>
  <c r="M940" s="1"/>
  <c r="M939" s="1"/>
  <c r="M938" s="1"/>
  <c r="M936"/>
  <c r="Q936" s="1"/>
  <c r="M931"/>
  <c r="M930" s="1"/>
  <c r="M929" s="1"/>
  <c r="M928" s="1"/>
  <c r="M926"/>
  <c r="M922"/>
  <c r="M921" s="1"/>
  <c r="M917"/>
  <c r="M913"/>
  <c r="M912" s="1"/>
  <c r="M911" s="1"/>
  <c r="M909"/>
  <c r="M746" s="1"/>
  <c r="Q746" s="1"/>
  <c r="M907"/>
  <c r="M901"/>
  <c r="M898"/>
  <c r="M897" s="1"/>
  <c r="M896" s="1"/>
  <c r="M894"/>
  <c r="M839" s="1"/>
  <c r="M891"/>
  <c r="M890" s="1"/>
  <c r="M889" s="1"/>
  <c r="M882"/>
  <c r="M879"/>
  <c r="M878" s="1"/>
  <c r="M877" s="1"/>
  <c r="M875"/>
  <c r="M872"/>
  <c r="M871" s="1"/>
  <c r="M870" s="1"/>
  <c r="M868"/>
  <c r="M865"/>
  <c r="M864" s="1"/>
  <c r="M863" s="1"/>
  <c r="M861"/>
  <c r="M857"/>
  <c r="M856" s="1"/>
  <c r="M855" s="1"/>
  <c r="M853"/>
  <c r="M850"/>
  <c r="M849" s="1"/>
  <c r="M848" s="1"/>
  <c r="M843"/>
  <c r="M840"/>
  <c r="M749" s="1"/>
  <c r="M470" s="1"/>
  <c r="M838"/>
  <c r="M837"/>
  <c r="M739" s="1"/>
  <c r="M836"/>
  <c r="M738" s="1"/>
  <c r="M829"/>
  <c r="M828" s="1"/>
  <c r="M827" s="1"/>
  <c r="M823"/>
  <c r="M821" s="1"/>
  <c r="Q821" s="1"/>
  <c r="R821" s="1"/>
  <c r="M817"/>
  <c r="M815" s="1"/>
  <c r="Q815" s="1"/>
  <c r="R815" s="1"/>
  <c r="M811"/>
  <c r="M810" s="1"/>
  <c r="M809" s="1"/>
  <c r="Q809" s="1"/>
  <c r="R809" s="1"/>
  <c r="M805"/>
  <c r="M804" s="1"/>
  <c r="M800"/>
  <c r="M799" s="1"/>
  <c r="M795"/>
  <c r="M794" s="1"/>
  <c r="Q794" s="1"/>
  <c r="R794" s="1"/>
  <c r="M790"/>
  <c r="M789" s="1"/>
  <c r="M785"/>
  <c r="M784" s="1"/>
  <c r="M783" s="1"/>
  <c r="M779"/>
  <c r="M778" s="1"/>
  <c r="M762"/>
  <c r="M760" s="1"/>
  <c r="M84" s="1"/>
  <c r="M176" s="1"/>
  <c r="M755"/>
  <c r="M752" s="1"/>
  <c r="M744"/>
  <c r="M743"/>
  <c r="M741"/>
  <c r="M733"/>
  <c r="M732"/>
  <c r="M731" s="1"/>
  <c r="M728"/>
  <c r="Q728" s="1"/>
  <c r="R728" s="1"/>
  <c r="M727"/>
  <c r="M726" s="1"/>
  <c r="Q726" s="1"/>
  <c r="R726" s="1"/>
  <c r="M723"/>
  <c r="M719"/>
  <c r="Q719" s="1"/>
  <c r="R719" s="1"/>
  <c r="M713"/>
  <c r="M712" s="1"/>
  <c r="M711" s="1"/>
  <c r="M709"/>
  <c r="M706"/>
  <c r="M705" s="1"/>
  <c r="M704" s="1"/>
  <c r="M703" s="1"/>
  <c r="Q703" s="1"/>
  <c r="R703" s="1"/>
  <c r="M701"/>
  <c r="M697"/>
  <c r="M696" s="1"/>
  <c r="M695" s="1"/>
  <c r="M694" s="1"/>
  <c r="M692"/>
  <c r="Q692" s="1"/>
  <c r="M688"/>
  <c r="M687" s="1"/>
  <c r="M686" s="1"/>
  <c r="M685" s="1"/>
  <c r="M682"/>
  <c r="Q682" s="1"/>
  <c r="M678"/>
  <c r="M677" s="1"/>
  <c r="M676" s="1"/>
  <c r="M671"/>
  <c r="M670" s="1"/>
  <c r="M669" s="1"/>
  <c r="M661"/>
  <c r="M657"/>
  <c r="M651"/>
  <c r="Q651" s="1"/>
  <c r="M646"/>
  <c r="M645" s="1"/>
  <c r="M641"/>
  <c r="M640"/>
  <c r="Q640" s="1"/>
  <c r="M638"/>
  <c r="M637"/>
  <c r="M635"/>
  <c r="Q635" s="1"/>
  <c r="R635" s="1"/>
  <c r="M630"/>
  <c r="M629" s="1"/>
  <c r="M627"/>
  <c r="M626"/>
  <c r="M624"/>
  <c r="M623" s="1"/>
  <c r="M621"/>
  <c r="M620" s="1"/>
  <c r="M618"/>
  <c r="M617" s="1"/>
  <c r="M615"/>
  <c r="M614" s="1"/>
  <c r="M610"/>
  <c r="M609" s="1"/>
  <c r="M608" s="1"/>
  <c r="M607" s="1"/>
  <c r="Q607" s="1"/>
  <c r="M604"/>
  <c r="M603" s="1"/>
  <c r="M602" s="1"/>
  <c r="M601" s="1"/>
  <c r="M598"/>
  <c r="M597" s="1"/>
  <c r="M596" s="1"/>
  <c r="M595" s="1"/>
  <c r="M592"/>
  <c r="Q592" s="1"/>
  <c r="M586"/>
  <c r="Q586" s="1"/>
  <c r="M576"/>
  <c r="Q576" s="1"/>
  <c r="R576" s="1"/>
  <c r="M574"/>
  <c r="M573" s="1"/>
  <c r="M572" s="1"/>
  <c r="M568"/>
  <c r="M562"/>
  <c r="M561" s="1"/>
  <c r="M560" s="1"/>
  <c r="M556"/>
  <c r="M555" s="1"/>
  <c r="M554" s="1"/>
  <c r="M23" s="1"/>
  <c r="M552"/>
  <c r="M545"/>
  <c r="M544" s="1"/>
  <c r="M543" s="1"/>
  <c r="M541"/>
  <c r="M534"/>
  <c r="M533" s="1"/>
  <c r="M532" s="1"/>
  <c r="M530"/>
  <c r="M523"/>
  <c r="M522" s="1"/>
  <c r="M521" s="1"/>
  <c r="M519"/>
  <c r="M512"/>
  <c r="M511" s="1"/>
  <c r="M504"/>
  <c r="M491" s="1"/>
  <c r="M480" s="1"/>
  <c r="M496"/>
  <c r="M495" s="1"/>
  <c r="M494" s="1"/>
  <c r="M493"/>
  <c r="M490"/>
  <c r="M478" s="1"/>
  <c r="M489"/>
  <c r="M477" s="1"/>
  <c r="M488"/>
  <c r="M475" s="1"/>
  <c r="M486"/>
  <c r="M474" s="1"/>
  <c r="M482"/>
  <c r="M479"/>
  <c r="M462" s="1"/>
  <c r="M476"/>
  <c r="M465"/>
  <c r="M464"/>
  <c r="M237" s="1"/>
  <c r="Q237" s="1"/>
  <c r="R237" s="1"/>
  <c r="M459"/>
  <c r="M449"/>
  <c r="Q449" s="1"/>
  <c r="R449" s="1"/>
  <c r="M445"/>
  <c r="M444" s="1"/>
  <c r="M440"/>
  <c r="M438"/>
  <c r="M436" s="1"/>
  <c r="M432"/>
  <c r="M425" s="1"/>
  <c r="M429"/>
  <c r="M428" s="1"/>
  <c r="M423"/>
  <c r="M422"/>
  <c r="M421"/>
  <c r="M415"/>
  <c r="M413" s="1"/>
  <c r="M400"/>
  <c r="M399" s="1"/>
  <c r="M256" s="1"/>
  <c r="M233" s="1"/>
  <c r="M395"/>
  <c r="M391"/>
  <c r="M252" s="1"/>
  <c r="M386"/>
  <c r="M385" s="1"/>
  <c r="M384" s="1"/>
  <c r="Q384" s="1"/>
  <c r="R384" s="1"/>
  <c r="M379"/>
  <c r="M378" s="1"/>
  <c r="M377" s="1"/>
  <c r="M373"/>
  <c r="M372" s="1"/>
  <c r="M371" s="1"/>
  <c r="M367"/>
  <c r="M366" s="1"/>
  <c r="M365" s="1"/>
  <c r="M361"/>
  <c r="M360" s="1"/>
  <c r="M359" s="1"/>
  <c r="Q359" s="1"/>
  <c r="R359" s="1"/>
  <c r="M355"/>
  <c r="M354" s="1"/>
  <c r="M353" s="1"/>
  <c r="Q353" s="1"/>
  <c r="R353" s="1"/>
  <c r="M331"/>
  <c r="M330" s="1"/>
  <c r="M329" s="1"/>
  <c r="M325"/>
  <c r="M324" s="1"/>
  <c r="M323" s="1"/>
  <c r="Q323" s="1"/>
  <c r="R323" s="1"/>
  <c r="M319"/>
  <c r="M318" s="1"/>
  <c r="M317" s="1"/>
  <c r="M313"/>
  <c r="M312" s="1"/>
  <c r="M311" s="1"/>
  <c r="M307"/>
  <c r="M306" s="1"/>
  <c r="M305" s="1"/>
  <c r="Q305" s="1"/>
  <c r="R305" s="1"/>
  <c r="M288"/>
  <c r="Q288" s="1"/>
  <c r="R288" s="1"/>
  <c r="M287"/>
  <c r="Q287" s="1"/>
  <c r="R287" s="1"/>
  <c r="M286"/>
  <c r="Q286" s="1"/>
  <c r="R286" s="1"/>
  <c r="M284"/>
  <c r="Q284" s="1"/>
  <c r="R284" s="1"/>
  <c r="M283"/>
  <c r="M102" s="1"/>
  <c r="M101" s="1"/>
  <c r="M282"/>
  <c r="M249"/>
  <c r="M264"/>
  <c r="M255"/>
  <c r="Q255" s="1"/>
  <c r="R255" s="1"/>
  <c r="M254"/>
  <c r="M253"/>
  <c r="M230" s="1"/>
  <c r="M251"/>
  <c r="M228" s="1"/>
  <c r="M248"/>
  <c r="Q248" s="1"/>
  <c r="R248" s="1"/>
  <c r="M238"/>
  <c r="M201"/>
  <c r="Q201" s="1"/>
  <c r="R201" s="1"/>
  <c r="M199"/>
  <c r="M196"/>
  <c r="M193"/>
  <c r="M178"/>
  <c r="M177"/>
  <c r="M166"/>
  <c r="M187" s="1"/>
  <c r="M186" s="1"/>
  <c r="M165"/>
  <c r="M163"/>
  <c r="M161" s="1"/>
  <c r="M160"/>
  <c r="M159" s="1"/>
  <c r="M158"/>
  <c r="Q158" s="1"/>
  <c r="R158" s="1"/>
  <c r="M156"/>
  <c r="Q156" s="1"/>
  <c r="R156" s="1"/>
  <c r="M155"/>
  <c r="M153"/>
  <c r="M152" s="1"/>
  <c r="M150"/>
  <c r="Q150" s="1"/>
  <c r="R150" s="1"/>
  <c r="M146"/>
  <c r="Q146" s="1"/>
  <c r="R146" s="1"/>
  <c r="M145"/>
  <c r="M144"/>
  <c r="M141"/>
  <c r="Q141" s="1"/>
  <c r="R141" s="1"/>
  <c r="M140"/>
  <c r="Q140" s="1"/>
  <c r="R140" s="1"/>
  <c r="M138"/>
  <c r="M136"/>
  <c r="Q136" s="1"/>
  <c r="R136" s="1"/>
  <c r="M131"/>
  <c r="M130"/>
  <c r="M129"/>
  <c r="M126"/>
  <c r="M125"/>
  <c r="M117"/>
  <c r="M110"/>
  <c r="M109" s="1"/>
  <c r="M215" s="1"/>
  <c r="M106"/>
  <c r="M212" s="1"/>
  <c r="M211" s="1"/>
  <c r="M98"/>
  <c r="M77"/>
  <c r="M67"/>
  <c r="Q67" s="1"/>
  <c r="M65"/>
  <c r="Q65" s="1"/>
  <c r="M62"/>
  <c r="Q62" s="1"/>
  <c r="M58"/>
  <c r="M56"/>
  <c r="M51"/>
  <c r="M49"/>
  <c r="M44" s="1"/>
  <c r="Q44" s="1"/>
  <c r="R44" s="1"/>
  <c r="M40"/>
  <c r="M31"/>
  <c r="M135" s="1"/>
  <c r="M15"/>
  <c r="M13"/>
  <c r="M123" s="1"/>
  <c r="M122" s="1"/>
  <c r="M164" l="1"/>
  <c r="Q186"/>
  <c r="P164"/>
  <c r="Q165"/>
  <c r="Q166"/>
  <c r="Q187"/>
  <c r="M1194"/>
  <c r="M1190" s="1"/>
  <c r="M1221" s="1"/>
  <c r="M1139" s="1"/>
  <c r="Q130"/>
  <c r="R130" s="1"/>
  <c r="O928"/>
  <c r="O908"/>
  <c r="M908"/>
  <c r="N908"/>
  <c r="N424"/>
  <c r="P431"/>
  <c r="P424" s="1"/>
  <c r="Q425"/>
  <c r="P427"/>
  <c r="P426" s="1"/>
  <c r="P418" s="1"/>
  <c r="N431"/>
  <c r="Q422"/>
  <c r="M1051"/>
  <c r="M124"/>
  <c r="Q249"/>
  <c r="Q1119"/>
  <c r="R1119" s="1"/>
  <c r="Q1120"/>
  <c r="R1120" s="1"/>
  <c r="Q1121"/>
  <c r="R1121" s="1"/>
  <c r="Q1113"/>
  <c r="R1113" s="1"/>
  <c r="Q1114"/>
  <c r="R1114" s="1"/>
  <c r="Q1115"/>
  <c r="R1115" s="1"/>
  <c r="Q1101"/>
  <c r="Q1052"/>
  <c r="R1052" s="1"/>
  <c r="M1060"/>
  <c r="M1050" s="1"/>
  <c r="Q1055"/>
  <c r="R1055" s="1"/>
  <c r="Q1043"/>
  <c r="R1043" s="1"/>
  <c r="Q1057"/>
  <c r="R1057" s="1"/>
  <c r="N966"/>
  <c r="Q1032"/>
  <c r="R1032" s="1"/>
  <c r="M968"/>
  <c r="Q982"/>
  <c r="R982" s="1"/>
  <c r="N968"/>
  <c r="Q978"/>
  <c r="R978" s="1"/>
  <c r="O976"/>
  <c r="N984"/>
  <c r="N975" s="1"/>
  <c r="Q975" s="1"/>
  <c r="R975" s="1"/>
  <c r="Q977"/>
  <c r="R977" s="1"/>
  <c r="Q967"/>
  <c r="R967" s="1"/>
  <c r="Q985"/>
  <c r="R985" s="1"/>
  <c r="M976"/>
  <c r="Q955"/>
  <c r="R955" s="1"/>
  <c r="Q956"/>
  <c r="R956" s="1"/>
  <c r="Q957"/>
  <c r="R957" s="1"/>
  <c r="Q938"/>
  <c r="R938" s="1"/>
  <c r="Q939"/>
  <c r="R939" s="1"/>
  <c r="Q940"/>
  <c r="R940" s="1"/>
  <c r="Q941"/>
  <c r="R941" s="1"/>
  <c r="Q928"/>
  <c r="Q929"/>
  <c r="Q930"/>
  <c r="Q931"/>
  <c r="Q926"/>
  <c r="R926" s="1"/>
  <c r="Q909"/>
  <c r="Q921"/>
  <c r="R921" s="1"/>
  <c r="O906"/>
  <c r="O740" s="1"/>
  <c r="Q922"/>
  <c r="R922" s="1"/>
  <c r="Q913"/>
  <c r="R913" s="1"/>
  <c r="Q827"/>
  <c r="R827" s="1"/>
  <c r="Q828"/>
  <c r="R828" s="1"/>
  <c r="Q829"/>
  <c r="R829" s="1"/>
  <c r="Q823"/>
  <c r="R823" s="1"/>
  <c r="M822"/>
  <c r="Q817"/>
  <c r="R817" s="1"/>
  <c r="Q810"/>
  <c r="R810" s="1"/>
  <c r="Q811"/>
  <c r="R811" s="1"/>
  <c r="Q805"/>
  <c r="R805" s="1"/>
  <c r="Q804"/>
  <c r="R804" s="1"/>
  <c r="N804"/>
  <c r="Q799"/>
  <c r="R799" s="1"/>
  <c r="Q800"/>
  <c r="R800" s="1"/>
  <c r="Q795"/>
  <c r="R795" s="1"/>
  <c r="Q789"/>
  <c r="R789" s="1"/>
  <c r="Q790"/>
  <c r="R790" s="1"/>
  <c r="M777"/>
  <c r="Q777" s="1"/>
  <c r="R777" s="1"/>
  <c r="Q778"/>
  <c r="R778" s="1"/>
  <c r="Q779"/>
  <c r="R779" s="1"/>
  <c r="Q743"/>
  <c r="R743" s="1"/>
  <c r="P752"/>
  <c r="P751" s="1"/>
  <c r="Q755"/>
  <c r="R755" s="1"/>
  <c r="Q84"/>
  <c r="Q760"/>
  <c r="Q762"/>
  <c r="Q731"/>
  <c r="R731" s="1"/>
  <c r="Q733"/>
  <c r="R733" s="1"/>
  <c r="Q732"/>
  <c r="R732" s="1"/>
  <c r="Q727"/>
  <c r="R727" s="1"/>
  <c r="M718"/>
  <c r="M634" s="1"/>
  <c r="Q704"/>
  <c r="R704" s="1"/>
  <c r="Q705"/>
  <c r="R705" s="1"/>
  <c r="Q706"/>
  <c r="R706" s="1"/>
  <c r="Q694"/>
  <c r="R694" s="1"/>
  <c r="Q695"/>
  <c r="R695" s="1"/>
  <c r="Q696"/>
  <c r="R696" s="1"/>
  <c r="Q697"/>
  <c r="R697" s="1"/>
  <c r="Q685"/>
  <c r="Q686"/>
  <c r="Q687"/>
  <c r="Q688"/>
  <c r="Q657"/>
  <c r="R657" s="1"/>
  <c r="M644"/>
  <c r="Q645"/>
  <c r="Q646"/>
  <c r="Q608"/>
  <c r="Q609"/>
  <c r="Q610"/>
  <c r="Q601"/>
  <c r="Q602"/>
  <c r="Q603"/>
  <c r="Q604"/>
  <c r="Q598"/>
  <c r="M591"/>
  <c r="Q572"/>
  <c r="Q573"/>
  <c r="Q574"/>
  <c r="Q464"/>
  <c r="R464" s="1"/>
  <c r="Q474"/>
  <c r="R474" s="1"/>
  <c r="Q486"/>
  <c r="R486" s="1"/>
  <c r="Q444"/>
  <c r="R444" s="1"/>
  <c r="Q445"/>
  <c r="R445" s="1"/>
  <c r="P420"/>
  <c r="Q436"/>
  <c r="R436" s="1"/>
  <c r="Q438"/>
  <c r="R438" s="1"/>
  <c r="O420"/>
  <c r="Q428"/>
  <c r="Q429"/>
  <c r="Q415"/>
  <c r="R415" s="1"/>
  <c r="N250"/>
  <c r="N226" s="1"/>
  <c r="M250"/>
  <c r="Q413"/>
  <c r="R413" s="1"/>
  <c r="Q399"/>
  <c r="R399" s="1"/>
  <c r="Q400"/>
  <c r="R400" s="1"/>
  <c r="Q228"/>
  <c r="R228" s="1"/>
  <c r="Q385"/>
  <c r="R385" s="1"/>
  <c r="Q251"/>
  <c r="R251" s="1"/>
  <c r="Q386"/>
  <c r="R386" s="1"/>
  <c r="Q377"/>
  <c r="R377" s="1"/>
  <c r="Q378"/>
  <c r="R378" s="1"/>
  <c r="Q379"/>
  <c r="R379" s="1"/>
  <c r="Q371"/>
  <c r="R371" s="1"/>
  <c r="Q372"/>
  <c r="R372" s="1"/>
  <c r="Q373"/>
  <c r="R373" s="1"/>
  <c r="O285"/>
  <c r="Q211"/>
  <c r="R211" s="1"/>
  <c r="Q106"/>
  <c r="R106" s="1"/>
  <c r="Q212"/>
  <c r="R212" s="1"/>
  <c r="M285"/>
  <c r="Q285" s="1"/>
  <c r="R285" s="1"/>
  <c r="Q367"/>
  <c r="R367" s="1"/>
  <c r="Q360"/>
  <c r="R360" s="1"/>
  <c r="Q361"/>
  <c r="R361" s="1"/>
  <c r="Q354"/>
  <c r="R354" s="1"/>
  <c r="Q355"/>
  <c r="R355" s="1"/>
  <c r="Q329"/>
  <c r="R329" s="1"/>
  <c r="Q330"/>
  <c r="R330" s="1"/>
  <c r="Q331"/>
  <c r="R331" s="1"/>
  <c r="Q324"/>
  <c r="R324" s="1"/>
  <c r="Q325"/>
  <c r="R325" s="1"/>
  <c r="Q317"/>
  <c r="R317" s="1"/>
  <c r="Q318"/>
  <c r="R318" s="1"/>
  <c r="Q319"/>
  <c r="R319" s="1"/>
  <c r="Q311"/>
  <c r="R311" s="1"/>
  <c r="Q313"/>
  <c r="R313" s="1"/>
  <c r="Q101"/>
  <c r="R101" s="1"/>
  <c r="Q102"/>
  <c r="R102" s="1"/>
  <c r="Q283"/>
  <c r="R283" s="1"/>
  <c r="P96"/>
  <c r="P202" s="1"/>
  <c r="P191" s="1"/>
  <c r="O96"/>
  <c r="O75" s="1"/>
  <c r="O74" s="1"/>
  <c r="N96"/>
  <c r="N75" s="1"/>
  <c r="N74" s="1"/>
  <c r="M96"/>
  <c r="M75" s="1"/>
  <c r="Q306"/>
  <c r="R306" s="1"/>
  <c r="Q282"/>
  <c r="R282" s="1"/>
  <c r="Q307"/>
  <c r="R307" s="1"/>
  <c r="Q264"/>
  <c r="R264" s="1"/>
  <c r="O172"/>
  <c r="O171" s="1"/>
  <c r="Q178"/>
  <c r="Q161"/>
  <c r="Q58"/>
  <c r="Q163"/>
  <c r="Q160"/>
  <c r="R160" s="1"/>
  <c r="Q51"/>
  <c r="R51" s="1"/>
  <c r="O154"/>
  <c r="N154"/>
  <c r="M154"/>
  <c r="Q155"/>
  <c r="R155" s="1"/>
  <c r="Q152"/>
  <c r="R152" s="1"/>
  <c r="Q153"/>
  <c r="R153" s="1"/>
  <c r="Q49"/>
  <c r="R49" s="1"/>
  <c r="Q145"/>
  <c r="R145" s="1"/>
  <c r="Q40"/>
  <c r="R40" s="1"/>
  <c r="Q126"/>
  <c r="R126" s="1"/>
  <c r="Q15"/>
  <c r="R15" s="1"/>
  <c r="Q125"/>
  <c r="R125" s="1"/>
  <c r="Q13"/>
  <c r="R13" s="1"/>
  <c r="Q123"/>
  <c r="R123" s="1"/>
  <c r="Q129"/>
  <c r="R129" s="1"/>
  <c r="Q490"/>
  <c r="Q23"/>
  <c r="Q556"/>
  <c r="Q554"/>
  <c r="Q555"/>
  <c r="Q1093"/>
  <c r="R1093" s="1"/>
  <c r="M1038"/>
  <c r="Q896"/>
  <c r="R896" s="1"/>
  <c r="Q739"/>
  <c r="R739" s="1"/>
  <c r="Q863"/>
  <c r="R863" s="1"/>
  <c r="Q889"/>
  <c r="R889" s="1"/>
  <c r="O390"/>
  <c r="O389" s="1"/>
  <c r="O388" s="1"/>
  <c r="O383" s="1"/>
  <c r="Q391"/>
  <c r="R391" s="1"/>
  <c r="N252"/>
  <c r="Q252" s="1"/>
  <c r="R252" s="1"/>
  <c r="M390"/>
  <c r="Q138"/>
  <c r="R138" s="1"/>
  <c r="Q637"/>
  <c r="R637" s="1"/>
  <c r="Q711"/>
  <c r="R711" s="1"/>
  <c r="Q712"/>
  <c r="R712" s="1"/>
  <c r="Q713"/>
  <c r="R713" s="1"/>
  <c r="Q135"/>
  <c r="R135" s="1"/>
  <c r="Q31"/>
  <c r="R31" s="1"/>
  <c r="Q489"/>
  <c r="R489" s="1"/>
  <c r="Q511"/>
  <c r="Q495"/>
  <c r="Q496"/>
  <c r="Q560"/>
  <c r="R560" s="1"/>
  <c r="Q561"/>
  <c r="R561" s="1"/>
  <c r="Q562"/>
  <c r="R562" s="1"/>
  <c r="Q543"/>
  <c r="Q544"/>
  <c r="Q545"/>
  <c r="Q533"/>
  <c r="Q534"/>
  <c r="Q521"/>
  <c r="Q523"/>
  <c r="Q522"/>
  <c r="Q512"/>
  <c r="Q475"/>
  <c r="R475" s="1"/>
  <c r="Q488"/>
  <c r="R488" s="1"/>
  <c r="Q897"/>
  <c r="R897" s="1"/>
  <c r="Q898"/>
  <c r="R898" s="1"/>
  <c r="Q131"/>
  <c r="R131" s="1"/>
  <c r="Q890"/>
  <c r="R890" s="1"/>
  <c r="Q891"/>
  <c r="R891" s="1"/>
  <c r="Q870"/>
  <c r="R870" s="1"/>
  <c r="Q864"/>
  <c r="R864" s="1"/>
  <c r="Q865"/>
  <c r="R865" s="1"/>
  <c r="Q837"/>
  <c r="R837" s="1"/>
  <c r="Q871"/>
  <c r="R871" s="1"/>
  <c r="Q872"/>
  <c r="R872" s="1"/>
  <c r="Q850"/>
  <c r="R850" s="1"/>
  <c r="Q848"/>
  <c r="R848" s="1"/>
  <c r="Q843"/>
  <c r="R843" s="1"/>
  <c r="Q849"/>
  <c r="R849" s="1"/>
  <c r="Q877"/>
  <c r="R877" s="1"/>
  <c r="Q878"/>
  <c r="R878" s="1"/>
  <c r="Q879"/>
  <c r="R879" s="1"/>
  <c r="Q855"/>
  <c r="R855" s="1"/>
  <c r="Q856"/>
  <c r="R856" s="1"/>
  <c r="Q857"/>
  <c r="R857" s="1"/>
  <c r="Q836"/>
  <c r="R836" s="1"/>
  <c r="Q738"/>
  <c r="R738" s="1"/>
  <c r="Q752"/>
  <c r="R752" s="1"/>
  <c r="Q676"/>
  <c r="Q677"/>
  <c r="Q678"/>
  <c r="O639"/>
  <c r="O675"/>
  <c r="P675"/>
  <c r="M675"/>
  <c r="N675"/>
  <c r="M1046"/>
  <c r="N1088"/>
  <c r="O1038"/>
  <c r="M1082"/>
  <c r="P1056"/>
  <c r="M1056"/>
  <c r="Q1056" s="1"/>
  <c r="R1056" s="1"/>
  <c r="P966"/>
  <c r="O1031"/>
  <c r="O968"/>
  <c r="P979"/>
  <c r="P969" s="1"/>
  <c r="O966"/>
  <c r="M966"/>
  <c r="O466"/>
  <c r="O239" s="1"/>
  <c r="O919"/>
  <c r="P466"/>
  <c r="P239" s="1"/>
  <c r="P908"/>
  <c r="P906"/>
  <c r="P740" s="1"/>
  <c r="M906"/>
  <c r="O912"/>
  <c r="O911" s="1"/>
  <c r="Q911" s="1"/>
  <c r="R911" s="1"/>
  <c r="N906"/>
  <c r="N740" s="1"/>
  <c r="M835"/>
  <c r="P835"/>
  <c r="O835"/>
  <c r="N456"/>
  <c r="N224" s="1"/>
  <c r="N835"/>
  <c r="O456"/>
  <c r="O224" s="1"/>
  <c r="P457"/>
  <c r="P456"/>
  <c r="P224" s="1"/>
  <c r="M456"/>
  <c r="P822"/>
  <c r="P816"/>
  <c r="N816"/>
  <c r="M742"/>
  <c r="N742"/>
  <c r="O461"/>
  <c r="O232" s="1"/>
  <c r="O457"/>
  <c r="M457"/>
  <c r="N457"/>
  <c r="N461"/>
  <c r="N232" s="1"/>
  <c r="M636"/>
  <c r="M582"/>
  <c r="P582"/>
  <c r="N582"/>
  <c r="P585"/>
  <c r="P581" s="1"/>
  <c r="M585"/>
  <c r="M584" s="1"/>
  <c r="O571"/>
  <c r="N571"/>
  <c r="P571"/>
  <c r="M571"/>
  <c r="P532"/>
  <c r="Q532" s="1"/>
  <c r="O30"/>
  <c r="M30"/>
  <c r="P477"/>
  <c r="P460" s="1"/>
  <c r="P231" s="1"/>
  <c r="N25"/>
  <c r="N134" s="1"/>
  <c r="N30"/>
  <c r="N477"/>
  <c r="O25"/>
  <c r="O134" s="1"/>
  <c r="P25"/>
  <c r="P134" s="1"/>
  <c r="M29"/>
  <c r="Q29" s="1"/>
  <c r="R29" s="1"/>
  <c r="M461"/>
  <c r="O443"/>
  <c r="O442" s="1"/>
  <c r="N443"/>
  <c r="N442" s="1"/>
  <c r="M443"/>
  <c r="P444"/>
  <c r="P443" s="1"/>
  <c r="P442" s="1"/>
  <c r="M437"/>
  <c r="Q437" s="1"/>
  <c r="R437" s="1"/>
  <c r="O436"/>
  <c r="O419"/>
  <c r="P250"/>
  <c r="P226" s="1"/>
  <c r="O413"/>
  <c r="P398"/>
  <c r="P397" s="1"/>
  <c r="P256"/>
  <c r="P233" s="1"/>
  <c r="N398"/>
  <c r="N397" s="1"/>
  <c r="N383" s="1"/>
  <c r="N256"/>
  <c r="N233" s="1"/>
  <c r="O256"/>
  <c r="O233" s="1"/>
  <c r="P390"/>
  <c r="P389" s="1"/>
  <c r="P388" s="1"/>
  <c r="N247"/>
  <c r="O281"/>
  <c r="N281"/>
  <c r="N280" s="1"/>
  <c r="N263" s="1"/>
  <c r="N258" s="1"/>
  <c r="M172"/>
  <c r="P154"/>
  <c r="N39"/>
  <c r="N143"/>
  <c r="P143"/>
  <c r="O143"/>
  <c r="O142" s="1"/>
  <c r="M143"/>
  <c r="O124"/>
  <c r="P124"/>
  <c r="P132"/>
  <c r="P484"/>
  <c r="P472" s="1"/>
  <c r="P1089"/>
  <c r="P1047" s="1"/>
  <c r="P1099"/>
  <c r="P910"/>
  <c r="P903" s="1"/>
  <c r="P904"/>
  <c r="P1092"/>
  <c r="P1082"/>
  <c r="P243"/>
  <c r="P1059"/>
  <c r="P1050"/>
  <c r="P644"/>
  <c r="P634"/>
  <c r="P207"/>
  <c r="P208"/>
  <c r="P613"/>
  <c r="P766"/>
  <c r="P84"/>
  <c r="P176" s="1"/>
  <c r="P172" s="1"/>
  <c r="P171" s="1"/>
  <c r="P461"/>
  <c r="P232" s="1"/>
  <c r="P1046"/>
  <c r="P105"/>
  <c r="P100" s="1"/>
  <c r="P206" s="1"/>
  <c r="P485"/>
  <c r="P473" s="1"/>
  <c r="P842"/>
  <c r="P983"/>
  <c r="P1004"/>
  <c r="P281"/>
  <c r="P280" s="1"/>
  <c r="P263" s="1"/>
  <c r="P1051"/>
  <c r="P1084"/>
  <c r="P1038" s="1"/>
  <c r="P636"/>
  <c r="P1031"/>
  <c r="P419"/>
  <c r="P905"/>
  <c r="P494"/>
  <c r="P266"/>
  <c r="P366"/>
  <c r="P365" s="1"/>
  <c r="Q365" s="1"/>
  <c r="R365" s="1"/>
  <c r="P39"/>
  <c r="P412"/>
  <c r="P216"/>
  <c r="P1088"/>
  <c r="P1086" s="1"/>
  <c r="P1042" s="1"/>
  <c r="O613"/>
  <c r="O766"/>
  <c r="O236"/>
  <c r="O581"/>
  <c r="O584"/>
  <c r="O1092"/>
  <c r="O1082"/>
  <c r="O1059"/>
  <c r="O1049" s="1"/>
  <c r="O1050"/>
  <c r="O207"/>
  <c r="O208"/>
  <c r="O132"/>
  <c r="O751"/>
  <c r="O483"/>
  <c r="O471" s="1"/>
  <c r="O904"/>
  <c r="O979"/>
  <c r="O969" s="1"/>
  <c r="O644"/>
  <c r="O634"/>
  <c r="O1089"/>
  <c r="O1047" s="1"/>
  <c r="O243" s="1"/>
  <c r="O1099"/>
  <c r="O1046"/>
  <c r="O105"/>
  <c r="O100" s="1"/>
  <c r="O206" s="1"/>
  <c r="O312"/>
  <c r="O311" s="1"/>
  <c r="O485"/>
  <c r="O473" s="1"/>
  <c r="O842"/>
  <c r="O983"/>
  <c r="O974" s="1"/>
  <c r="O484"/>
  <c r="O472" s="1"/>
  <c r="O1051"/>
  <c r="O742"/>
  <c r="O822"/>
  <c r="O1001"/>
  <c r="O636"/>
  <c r="O267"/>
  <c r="O431"/>
  <c r="O424" s="1"/>
  <c r="O582"/>
  <c r="O816"/>
  <c r="O39"/>
  <c r="O477"/>
  <c r="O216"/>
  <c r="O1088"/>
  <c r="O1086" s="1"/>
  <c r="O1042" s="1"/>
  <c r="N1089"/>
  <c r="N1099"/>
  <c r="N613"/>
  <c r="N236"/>
  <c r="N239"/>
  <c r="N427"/>
  <c r="N426" s="1"/>
  <c r="N419"/>
  <c r="N1092"/>
  <c r="N1082"/>
  <c r="N494"/>
  <c r="N483" s="1"/>
  <c r="N471" s="1"/>
  <c r="N484"/>
  <c r="N472" s="1"/>
  <c r="N766"/>
  <c r="N207"/>
  <c r="N208"/>
  <c r="N176"/>
  <c r="N172" s="1"/>
  <c r="N171" s="1"/>
  <c r="N920"/>
  <c r="N1059"/>
  <c r="N1049" s="1"/>
  <c r="N1050"/>
  <c r="N132"/>
  <c r="N411"/>
  <c r="N412"/>
  <c r="N639"/>
  <c r="N584"/>
  <c r="N1046"/>
  <c r="N644"/>
  <c r="N634"/>
  <c r="N105"/>
  <c r="N100" s="1"/>
  <c r="N206" s="1"/>
  <c r="N312"/>
  <c r="N311" s="1"/>
  <c r="N485"/>
  <c r="N473" s="1"/>
  <c r="N842"/>
  <c r="N949"/>
  <c r="N948" s="1"/>
  <c r="N947" s="1"/>
  <c r="N1051"/>
  <c r="Q1051" s="1"/>
  <c r="R1051" s="1"/>
  <c r="N1084"/>
  <c r="N1038" s="1"/>
  <c r="N437"/>
  <c r="N822"/>
  <c r="N979"/>
  <c r="N969" s="1"/>
  <c r="N1001"/>
  <c r="N420"/>
  <c r="N636"/>
  <c r="N1031"/>
  <c r="N266"/>
  <c r="N366"/>
  <c r="N365" s="1"/>
  <c r="N597"/>
  <c r="N596" s="1"/>
  <c r="N595" s="1"/>
  <c r="Q595" s="1"/>
  <c r="N751"/>
  <c r="N642"/>
  <c r="N468" s="1"/>
  <c r="N241" s="1"/>
  <c r="M132"/>
  <c r="M147"/>
  <c r="Q147" s="1"/>
  <c r="R147" s="1"/>
  <c r="M39"/>
  <c r="M411"/>
  <c r="M412"/>
  <c r="M639"/>
  <c r="M920"/>
  <c r="M207"/>
  <c r="M208"/>
  <c r="M419"/>
  <c r="M643"/>
  <c r="M910"/>
  <c r="M994"/>
  <c r="M979"/>
  <c r="M1089"/>
  <c r="M1099"/>
  <c r="M232"/>
  <c r="M466"/>
  <c r="M510"/>
  <c r="M484"/>
  <c r="M751"/>
  <c r="M1081"/>
  <c r="M613"/>
  <c r="M766"/>
  <c r="M105"/>
  <c r="M398"/>
  <c r="M485"/>
  <c r="M842"/>
  <c r="M949"/>
  <c r="M983"/>
  <c r="M281"/>
  <c r="M656"/>
  <c r="M420"/>
  <c r="M1031"/>
  <c r="Q1031" s="1"/>
  <c r="R1031" s="1"/>
  <c r="M267"/>
  <c r="M431"/>
  <c r="M816"/>
  <c r="Q816" s="1"/>
  <c r="R816" s="1"/>
  <c r="M642"/>
  <c r="M216"/>
  <c r="M1088"/>
  <c r="Q164" l="1"/>
  <c r="Q908"/>
  <c r="M468"/>
  <c r="Q642"/>
  <c r="M424"/>
  <c r="Q424" s="1"/>
  <c r="Q431"/>
  <c r="Q124"/>
  <c r="R124" s="1"/>
  <c r="Q1088"/>
  <c r="R1088" s="1"/>
  <c r="Q1046"/>
  <c r="R1046" s="1"/>
  <c r="Q1099"/>
  <c r="M1047"/>
  <c r="Q1089"/>
  <c r="M1091"/>
  <c r="M1080" s="1"/>
  <c r="O1036"/>
  <c r="Q1050"/>
  <c r="R1050" s="1"/>
  <c r="M1059"/>
  <c r="Q1059" s="1"/>
  <c r="R1059" s="1"/>
  <c r="Q1060"/>
  <c r="R1060" s="1"/>
  <c r="M225"/>
  <c r="M969"/>
  <c r="Q969" s="1"/>
  <c r="R969" s="1"/>
  <c r="Q979"/>
  <c r="R979" s="1"/>
  <c r="Q968"/>
  <c r="R968" s="1"/>
  <c r="Q976"/>
  <c r="R976" s="1"/>
  <c r="Q966"/>
  <c r="R966" s="1"/>
  <c r="Q984"/>
  <c r="R984" s="1"/>
  <c r="N983"/>
  <c r="N974" s="1"/>
  <c r="M948"/>
  <c r="Q949"/>
  <c r="R949" s="1"/>
  <c r="M919"/>
  <c r="Q920"/>
  <c r="R920" s="1"/>
  <c r="O910"/>
  <c r="O903" s="1"/>
  <c r="Q912"/>
  <c r="R912" s="1"/>
  <c r="O905"/>
  <c r="O737" s="1"/>
  <c r="O455" s="1"/>
  <c r="M740"/>
  <c r="Q740" s="1"/>
  <c r="Q906"/>
  <c r="Q822"/>
  <c r="R822" s="1"/>
  <c r="Q766"/>
  <c r="R766" s="1"/>
  <c r="Q176"/>
  <c r="M460"/>
  <c r="M231" s="1"/>
  <c r="Q742"/>
  <c r="M717"/>
  <c r="Q718"/>
  <c r="R718" s="1"/>
  <c r="M655"/>
  <c r="Q656"/>
  <c r="R656" s="1"/>
  <c r="Q644"/>
  <c r="Q636"/>
  <c r="N581"/>
  <c r="Q597"/>
  <c r="Q596"/>
  <c r="M590"/>
  <c r="Q591"/>
  <c r="Q582"/>
  <c r="P584"/>
  <c r="P583" s="1"/>
  <c r="P579" s="1"/>
  <c r="P570" s="1"/>
  <c r="M581"/>
  <c r="Q585"/>
  <c r="Q571"/>
  <c r="M442"/>
  <c r="Q442" s="1"/>
  <c r="R442" s="1"/>
  <c r="Q443"/>
  <c r="R443" s="1"/>
  <c r="Q420"/>
  <c r="Q419"/>
  <c r="M226"/>
  <c r="Q226" s="1"/>
  <c r="R226" s="1"/>
  <c r="Q250"/>
  <c r="R250" s="1"/>
  <c r="Q412"/>
  <c r="R412" s="1"/>
  <c r="P383"/>
  <c r="Q233"/>
  <c r="R233" s="1"/>
  <c r="Q256"/>
  <c r="R256" s="1"/>
  <c r="M397"/>
  <c r="Q397" s="1"/>
  <c r="R397" s="1"/>
  <c r="Q398"/>
  <c r="R398" s="1"/>
  <c r="O280"/>
  <c r="O263" s="1"/>
  <c r="O258" s="1"/>
  <c r="M100"/>
  <c r="M206" s="1"/>
  <c r="Q206" s="1"/>
  <c r="R206" s="1"/>
  <c r="Q105"/>
  <c r="R105" s="1"/>
  <c r="Q366"/>
  <c r="R366" s="1"/>
  <c r="O202"/>
  <c r="O191" s="1"/>
  <c r="O185" s="1"/>
  <c r="P75"/>
  <c r="P74" s="1"/>
  <c r="Q208"/>
  <c r="R208" s="1"/>
  <c r="Q207"/>
  <c r="R207" s="1"/>
  <c r="Q312"/>
  <c r="R312" s="1"/>
  <c r="N202"/>
  <c r="N191" s="1"/>
  <c r="N185" s="1"/>
  <c r="M202"/>
  <c r="M191" s="1"/>
  <c r="Q96"/>
  <c r="R96" s="1"/>
  <c r="M280"/>
  <c r="Q281"/>
  <c r="R281" s="1"/>
  <c r="Q267"/>
  <c r="M74"/>
  <c r="M171"/>
  <c r="Q171" s="1"/>
  <c r="Q172"/>
  <c r="Q154"/>
  <c r="R154" s="1"/>
  <c r="N142"/>
  <c r="P142"/>
  <c r="M142"/>
  <c r="Q39"/>
  <c r="Q143"/>
  <c r="R143" s="1"/>
  <c r="P483"/>
  <c r="P471" s="1"/>
  <c r="O19"/>
  <c r="O18" s="1"/>
  <c r="O12" s="1"/>
  <c r="Q132"/>
  <c r="Q1092"/>
  <c r="R1092" s="1"/>
  <c r="N225"/>
  <c r="Q1084"/>
  <c r="R1084" s="1"/>
  <c r="Q1038"/>
  <c r="R1038" s="1"/>
  <c r="M1036"/>
  <c r="Q1082"/>
  <c r="R1082" s="1"/>
  <c r="M1035"/>
  <c r="M389"/>
  <c r="Q390"/>
  <c r="R390" s="1"/>
  <c r="Q461"/>
  <c r="Q232"/>
  <c r="Q477"/>
  <c r="Q494"/>
  <c r="M483"/>
  <c r="Q510"/>
  <c r="M473"/>
  <c r="Q473" s="1"/>
  <c r="Q485"/>
  <c r="M472"/>
  <c r="Q472" s="1"/>
  <c r="Q484"/>
  <c r="Q457"/>
  <c r="R457" s="1"/>
  <c r="Q835"/>
  <c r="R835" s="1"/>
  <c r="Q842"/>
  <c r="R842" s="1"/>
  <c r="Q751"/>
  <c r="R751" s="1"/>
  <c r="M224"/>
  <c r="Q224" s="1"/>
  <c r="R224" s="1"/>
  <c r="Q456"/>
  <c r="R456" s="1"/>
  <c r="Q634"/>
  <c r="Q466"/>
  <c r="Q675"/>
  <c r="Q639"/>
  <c r="P225"/>
  <c r="N1036"/>
  <c r="P1036"/>
  <c r="P1049"/>
  <c r="O964"/>
  <c r="O1030"/>
  <c r="O1014" s="1"/>
  <c r="O1015"/>
  <c r="O965" s="1"/>
  <c r="O225"/>
  <c r="M904"/>
  <c r="M905"/>
  <c r="P236"/>
  <c r="P737"/>
  <c r="P455" s="1"/>
  <c r="N460"/>
  <c r="N231" s="1"/>
  <c r="O460"/>
  <c r="O231" s="1"/>
  <c r="P458"/>
  <c r="P229" s="1"/>
  <c r="N458"/>
  <c r="N229" s="1"/>
  <c r="P128"/>
  <c r="P127" s="1"/>
  <c r="M25"/>
  <c r="N19"/>
  <c r="N18" s="1"/>
  <c r="N12" s="1"/>
  <c r="N128"/>
  <c r="N127" s="1"/>
  <c r="P19"/>
  <c r="P18" s="1"/>
  <c r="O128"/>
  <c r="O127" s="1"/>
  <c r="O121" s="1"/>
  <c r="N418"/>
  <c r="O412"/>
  <c r="O411"/>
  <c r="Q411" s="1"/>
  <c r="R411" s="1"/>
  <c r="P247"/>
  <c r="N274"/>
  <c r="N265" s="1"/>
  <c r="N245" s="1"/>
  <c r="P185"/>
  <c r="P1091"/>
  <c r="P1080" s="1"/>
  <c r="P1081"/>
  <c r="P1035" s="1"/>
  <c r="P748"/>
  <c r="P469" s="1"/>
  <c r="P242" s="1"/>
  <c r="P765"/>
  <c r="P274"/>
  <c r="P265" s="1"/>
  <c r="P258"/>
  <c r="P1015"/>
  <c r="P965" s="1"/>
  <c r="P1030"/>
  <c r="P1014" s="1"/>
  <c r="P834"/>
  <c r="P736" s="1"/>
  <c r="P841"/>
  <c r="P833" s="1"/>
  <c r="P643"/>
  <c r="P632" s="1"/>
  <c r="P633"/>
  <c r="P246"/>
  <c r="P974"/>
  <c r="O1091"/>
  <c r="O1080" s="1"/>
  <c r="O1034" s="1"/>
  <c r="O1081"/>
  <c r="O1035" s="1"/>
  <c r="O643"/>
  <c r="O632" s="1"/>
  <c r="O633"/>
  <c r="O580"/>
  <c r="O583"/>
  <c r="O579" s="1"/>
  <c r="O570" s="1"/>
  <c r="O247"/>
  <c r="O266"/>
  <c r="O427"/>
  <c r="O426" s="1"/>
  <c r="O418" s="1"/>
  <c r="O834"/>
  <c r="O736" s="1"/>
  <c r="O841"/>
  <c r="O833" s="1"/>
  <c r="O748"/>
  <c r="O469" s="1"/>
  <c r="O765"/>
  <c r="O745" s="1"/>
  <c r="O463" s="1"/>
  <c r="O458"/>
  <c r="O229" s="1"/>
  <c r="N1091"/>
  <c r="N1080" s="1"/>
  <c r="N1034" s="1"/>
  <c r="N1081"/>
  <c r="N1035" s="1"/>
  <c r="N643"/>
  <c r="N632" s="1"/>
  <c r="N633"/>
  <c r="N919"/>
  <c r="N903" s="1"/>
  <c r="N904"/>
  <c r="N1047"/>
  <c r="N243" s="1"/>
  <c r="N1086"/>
  <c r="N1042" s="1"/>
  <c r="N580"/>
  <c r="N583"/>
  <c r="N579" s="1"/>
  <c r="N570" s="1"/>
  <c r="N905"/>
  <c r="N737" s="1"/>
  <c r="N1015"/>
  <c r="N965" s="1"/>
  <c r="N1030"/>
  <c r="N1014" s="1"/>
  <c r="N834"/>
  <c r="N841"/>
  <c r="N833" s="1"/>
  <c r="N246"/>
  <c r="N748"/>
  <c r="N469" s="1"/>
  <c r="N242" s="1"/>
  <c r="N765"/>
  <c r="N745" s="1"/>
  <c r="N463" s="1"/>
  <c r="M239"/>
  <c r="Q239" s="1"/>
  <c r="M236"/>
  <c r="M583"/>
  <c r="M247"/>
  <c r="M266"/>
  <c r="M748"/>
  <c r="M765"/>
  <c r="M834"/>
  <c r="M841"/>
  <c r="M1015"/>
  <c r="M1030"/>
  <c r="M1086"/>
  <c r="M427"/>
  <c r="M974"/>
  <c r="Q974" s="1"/>
  <c r="R974" s="1"/>
  <c r="M241" l="1"/>
  <c r="Q241" s="1"/>
  <c r="Q468"/>
  <c r="Q266"/>
  <c r="M243"/>
  <c r="Q243" s="1"/>
  <c r="Q1047"/>
  <c r="M1042"/>
  <c r="Q1042" s="1"/>
  <c r="Q1086"/>
  <c r="Q1036"/>
  <c r="R1036" s="1"/>
  <c r="M1049"/>
  <c r="Q1049" s="1"/>
  <c r="R1049" s="1"/>
  <c r="N964"/>
  <c r="M1014"/>
  <c r="Q1014" s="1"/>
  <c r="R1014" s="1"/>
  <c r="Q1030"/>
  <c r="R1030" s="1"/>
  <c r="M965"/>
  <c r="Q965" s="1"/>
  <c r="R965" s="1"/>
  <c r="Q1015"/>
  <c r="R1015" s="1"/>
  <c r="Q983"/>
  <c r="R983" s="1"/>
  <c r="M947"/>
  <c r="Q948"/>
  <c r="R948" s="1"/>
  <c r="M458"/>
  <c r="Q458" s="1"/>
  <c r="Q919"/>
  <c r="R919" s="1"/>
  <c r="Q910"/>
  <c r="R910" s="1"/>
  <c r="Q904"/>
  <c r="M737"/>
  <c r="Q737" s="1"/>
  <c r="Q905"/>
  <c r="Q100"/>
  <c r="R100" s="1"/>
  <c r="M469"/>
  <c r="Q469" s="1"/>
  <c r="R469" s="1"/>
  <c r="Q748"/>
  <c r="R748" s="1"/>
  <c r="M745"/>
  <c r="Q765"/>
  <c r="R765" s="1"/>
  <c r="M716"/>
  <c r="Q716" s="1"/>
  <c r="R716" s="1"/>
  <c r="Q717"/>
  <c r="R717" s="1"/>
  <c r="M654"/>
  <c r="Q655"/>
  <c r="R655" s="1"/>
  <c r="M633"/>
  <c r="Q633" s="1"/>
  <c r="Q643"/>
  <c r="N455"/>
  <c r="N223" s="1"/>
  <c r="Q581"/>
  <c r="M589"/>
  <c r="Q589" s="1"/>
  <c r="Q590"/>
  <c r="M580"/>
  <c r="P580"/>
  <c r="P454" s="1"/>
  <c r="P222" s="1"/>
  <c r="Q584"/>
  <c r="Q583"/>
  <c r="M426"/>
  <c r="Q427"/>
  <c r="P245"/>
  <c r="O235"/>
  <c r="O242"/>
  <c r="O274"/>
  <c r="O265" s="1"/>
  <c r="O245" s="1"/>
  <c r="Q280"/>
  <c r="R280" s="1"/>
  <c r="Q75"/>
  <c r="Q74"/>
  <c r="P12"/>
  <c r="Q191"/>
  <c r="R191" s="1"/>
  <c r="M185"/>
  <c r="Q185" s="1"/>
  <c r="Q202"/>
  <c r="R202" s="1"/>
  <c r="M263"/>
  <c r="Q263" s="1"/>
  <c r="R263" s="1"/>
  <c r="M274"/>
  <c r="M265" s="1"/>
  <c r="N121"/>
  <c r="Q142"/>
  <c r="P121"/>
  <c r="Q1080"/>
  <c r="Q1035"/>
  <c r="R1035" s="1"/>
  <c r="Q1081"/>
  <c r="R1081" s="1"/>
  <c r="Q1091"/>
  <c r="M1034"/>
  <c r="Q247"/>
  <c r="M388"/>
  <c r="Q389"/>
  <c r="R389" s="1"/>
  <c r="Q231"/>
  <c r="Q460"/>
  <c r="Q225"/>
  <c r="M471"/>
  <c r="Q471" s="1"/>
  <c r="Q483"/>
  <c r="M134"/>
  <c r="Q25"/>
  <c r="N736"/>
  <c r="N454" s="1"/>
  <c r="N222" s="1"/>
  <c r="M736"/>
  <c r="Q834"/>
  <c r="R834" s="1"/>
  <c r="M833"/>
  <c r="Q833" s="1"/>
  <c r="R833" s="1"/>
  <c r="Q841"/>
  <c r="R841" s="1"/>
  <c r="Q236"/>
  <c r="M19"/>
  <c r="N235"/>
  <c r="P1034"/>
  <c r="O750"/>
  <c r="O735" s="1"/>
  <c r="O453" s="1"/>
  <c r="N750"/>
  <c r="N735" s="1"/>
  <c r="N453" s="1"/>
  <c r="O454"/>
  <c r="O223"/>
  <c r="P223"/>
  <c r="P745"/>
  <c r="P463" s="1"/>
  <c r="P235" s="1"/>
  <c r="P750"/>
  <c r="P735" s="1"/>
  <c r="P453" s="1"/>
  <c r="P964"/>
  <c r="O246"/>
  <c r="M246"/>
  <c r="M750"/>
  <c r="N221" l="1"/>
  <c r="N1136" s="1"/>
  <c r="M964"/>
  <c r="Q964" s="1"/>
  <c r="R964" s="1"/>
  <c r="M455"/>
  <c r="M223" s="1"/>
  <c r="Q223" s="1"/>
  <c r="Q947"/>
  <c r="R947" s="1"/>
  <c r="M903"/>
  <c r="Q903" s="1"/>
  <c r="M229"/>
  <c r="Q229" s="1"/>
  <c r="M463"/>
  <c r="Q463" s="1"/>
  <c r="Q745"/>
  <c r="Q654"/>
  <c r="R654" s="1"/>
  <c r="M632"/>
  <c r="Q632" s="1"/>
  <c r="Q580"/>
  <c r="M454"/>
  <c r="M222" s="1"/>
  <c r="M579"/>
  <c r="Q579" s="1"/>
  <c r="M418"/>
  <c r="Q418" s="1"/>
  <c r="Q426"/>
  <c r="Q274"/>
  <c r="R274" s="1"/>
  <c r="M258"/>
  <c r="Q258" s="1"/>
  <c r="R258" s="1"/>
  <c r="M242"/>
  <c r="Q242" s="1"/>
  <c r="R242" s="1"/>
  <c r="Q265"/>
  <c r="Q1034"/>
  <c r="Q246"/>
  <c r="Q388"/>
  <c r="R388" s="1"/>
  <c r="M383"/>
  <c r="Q383" s="1"/>
  <c r="R383" s="1"/>
  <c r="M128"/>
  <c r="Q134"/>
  <c r="Q736"/>
  <c r="Q750"/>
  <c r="R750" s="1"/>
  <c r="M18"/>
  <c r="Q19"/>
  <c r="P221"/>
  <c r="P1136" s="1"/>
  <c r="O222"/>
  <c r="O221"/>
  <c r="O1136" s="1"/>
  <c r="Q455" l="1"/>
  <c r="M735"/>
  <c r="Q735" s="1"/>
  <c r="Q454"/>
  <c r="M570"/>
  <c r="Q570" s="1"/>
  <c r="M235"/>
  <c r="Q235" s="1"/>
  <c r="M245"/>
  <c r="Q245" s="1"/>
  <c r="Q128"/>
  <c r="M127"/>
  <c r="M12"/>
  <c r="Q12" s="1"/>
  <c r="Q18"/>
  <c r="Q222"/>
  <c r="L1160"/>
  <c r="M453" l="1"/>
  <c r="M221" s="1"/>
  <c r="Q221" s="1"/>
  <c r="Q127"/>
  <c r="M121"/>
  <c r="Q121" s="1"/>
  <c r="L1204"/>
  <c r="L1195"/>
  <c r="L1193"/>
  <c r="L1192"/>
  <c r="L1191" s="1"/>
  <c r="L1186"/>
  <c r="L1179"/>
  <c r="L1165" s="1"/>
  <c r="L1168"/>
  <c r="L1167" s="1"/>
  <c r="L1164" s="1"/>
  <c r="L1152"/>
  <c r="L1151"/>
  <c r="L1148"/>
  <c r="L1146"/>
  <c r="L1143"/>
  <c r="L1141" s="1"/>
  <c r="L1140" s="1"/>
  <c r="Q453" l="1"/>
  <c r="M1136"/>
  <c r="Q1136" s="1"/>
  <c r="L1194"/>
  <c r="L1190" s="1"/>
  <c r="L1221" s="1"/>
  <c r="L1139" s="1"/>
  <c r="L1110"/>
  <c r="L289"/>
  <c r="L927"/>
  <c r="M1138" l="1"/>
  <c r="L1095"/>
  <c r="K1112"/>
  <c r="J1112"/>
  <c r="L901"/>
  <c r="S901"/>
  <c r="T901"/>
  <c r="U901"/>
  <c r="K901"/>
  <c r="K701" l="1"/>
  <c r="L958" l="1"/>
  <c r="S958"/>
  <c r="T958"/>
  <c r="U958"/>
  <c r="K958"/>
  <c r="E545"/>
  <c r="F545"/>
  <c r="H545"/>
  <c r="I545"/>
  <c r="J545"/>
  <c r="K545"/>
  <c r="L545"/>
  <c r="R545" s="1"/>
  <c r="S545"/>
  <c r="T545"/>
  <c r="U545"/>
  <c r="D545"/>
  <c r="E534"/>
  <c r="F534"/>
  <c r="H534"/>
  <c r="I534"/>
  <c r="J534"/>
  <c r="K534"/>
  <c r="L534"/>
  <c r="R534" s="1"/>
  <c r="S534"/>
  <c r="T534"/>
  <c r="U534"/>
  <c r="D534"/>
  <c r="E523"/>
  <c r="F523"/>
  <c r="H523"/>
  <c r="I523"/>
  <c r="J523"/>
  <c r="K523"/>
  <c r="L523"/>
  <c r="R523" s="1"/>
  <c r="S523"/>
  <c r="T523"/>
  <c r="U523"/>
  <c r="D523"/>
  <c r="E512"/>
  <c r="F512"/>
  <c r="H512"/>
  <c r="I512"/>
  <c r="J512"/>
  <c r="K512"/>
  <c r="L512"/>
  <c r="R512" s="1"/>
  <c r="S512"/>
  <c r="T512"/>
  <c r="U512"/>
  <c r="D512"/>
  <c r="E496"/>
  <c r="F496"/>
  <c r="H496"/>
  <c r="I496"/>
  <c r="J496"/>
  <c r="K496"/>
  <c r="L496"/>
  <c r="R496" s="1"/>
  <c r="S496"/>
  <c r="T496"/>
  <c r="U496"/>
  <c r="D496"/>
  <c r="U490"/>
  <c r="T490"/>
  <c r="S490"/>
  <c r="L490"/>
  <c r="R490" s="1"/>
  <c r="K490"/>
  <c r="J490"/>
  <c r="I490"/>
  <c r="I478" s="1"/>
  <c r="H490"/>
  <c r="H478" s="1"/>
  <c r="G490"/>
  <c r="G478" s="1"/>
  <c r="F490"/>
  <c r="F478" s="1"/>
  <c r="E490"/>
  <c r="E478" s="1"/>
  <c r="D490"/>
  <c r="D478" s="1"/>
  <c r="J478" l="1"/>
  <c r="J30"/>
  <c r="T478"/>
  <c r="T30"/>
  <c r="S478"/>
  <c r="S30"/>
  <c r="K478"/>
  <c r="K30"/>
  <c r="U478"/>
  <c r="U30"/>
  <c r="L478"/>
  <c r="R478" s="1"/>
  <c r="L30"/>
  <c r="R30" s="1"/>
  <c r="K755"/>
  <c r="K752" s="1"/>
  <c r="L1133"/>
  <c r="L1132" s="1"/>
  <c r="L1131" s="1"/>
  <c r="K1133"/>
  <c r="K1132" s="1"/>
  <c r="K1131" s="1"/>
  <c r="L1127"/>
  <c r="L1126" s="1"/>
  <c r="L1125" s="1"/>
  <c r="K1127"/>
  <c r="K1126" s="1"/>
  <c r="K1125" s="1"/>
  <c r="L1121"/>
  <c r="L1120" s="1"/>
  <c r="L1119" s="1"/>
  <c r="K1121"/>
  <c r="K1120" s="1"/>
  <c r="K1119" s="1"/>
  <c r="L1115"/>
  <c r="L1114" s="1"/>
  <c r="L1113" s="1"/>
  <c r="K1115"/>
  <c r="K1114" s="1"/>
  <c r="K1113" s="1"/>
  <c r="L1101"/>
  <c r="K1101"/>
  <c r="K1100" s="1"/>
  <c r="K1099" s="1"/>
  <c r="L1084"/>
  <c r="K1093"/>
  <c r="K1092" s="1"/>
  <c r="K1081" s="1"/>
  <c r="L1085"/>
  <c r="L1041" s="1"/>
  <c r="L227" s="1"/>
  <c r="K1085"/>
  <c r="K1041" s="1"/>
  <c r="K227" s="1"/>
  <c r="K1084"/>
  <c r="L1061"/>
  <c r="L1060" s="1"/>
  <c r="K1061"/>
  <c r="K1060" s="1"/>
  <c r="L1057"/>
  <c r="L1056" s="1"/>
  <c r="K1057"/>
  <c r="K1054" s="1"/>
  <c r="L1055"/>
  <c r="L1043" s="1"/>
  <c r="L240" s="1"/>
  <c r="K1055"/>
  <c r="K1043" s="1"/>
  <c r="K240" s="1"/>
  <c r="L1052"/>
  <c r="K1052"/>
  <c r="L1044"/>
  <c r="K1044"/>
  <c r="L1032"/>
  <c r="L1016" s="1"/>
  <c r="K1032"/>
  <c r="K1016" s="1"/>
  <c r="L1017"/>
  <c r="K1017"/>
  <c r="L1012"/>
  <c r="L1011" s="1"/>
  <c r="K1012"/>
  <c r="K1011" s="1"/>
  <c r="L1008"/>
  <c r="L1004" s="1"/>
  <c r="K1008"/>
  <c r="K1004" s="1"/>
  <c r="L1002"/>
  <c r="L1001" s="1"/>
  <c r="K1002"/>
  <c r="K1001" s="1"/>
  <c r="L996"/>
  <c r="L995" s="1"/>
  <c r="L994" s="1"/>
  <c r="K996"/>
  <c r="K995" s="1"/>
  <c r="K994" s="1"/>
  <c r="L992"/>
  <c r="L991" s="1"/>
  <c r="K992"/>
  <c r="K991" s="1"/>
  <c r="L989"/>
  <c r="K989"/>
  <c r="L985"/>
  <c r="L984" s="1"/>
  <c r="K985"/>
  <c r="K976" s="1"/>
  <c r="L982"/>
  <c r="L973" s="1"/>
  <c r="K982"/>
  <c r="K973" s="1"/>
  <c r="L978"/>
  <c r="K978"/>
  <c r="L977"/>
  <c r="L967" s="1"/>
  <c r="K977"/>
  <c r="K967" s="1"/>
  <c r="L961"/>
  <c r="L960" s="1"/>
  <c r="L959" s="1"/>
  <c r="K961"/>
  <c r="K960" s="1"/>
  <c r="K959" s="1"/>
  <c r="L957"/>
  <c r="L956" s="1"/>
  <c r="L955" s="1"/>
  <c r="K957"/>
  <c r="K956" s="1"/>
  <c r="K955" s="1"/>
  <c r="L953"/>
  <c r="K953"/>
  <c r="L950"/>
  <c r="L949" s="1"/>
  <c r="L948" s="1"/>
  <c r="K950"/>
  <c r="K949" s="1"/>
  <c r="K948" s="1"/>
  <c r="L945"/>
  <c r="K945"/>
  <c r="L941"/>
  <c r="L940" s="1"/>
  <c r="L939" s="1"/>
  <c r="K941"/>
  <c r="K940" s="1"/>
  <c r="K939" s="1"/>
  <c r="L936"/>
  <c r="R936" s="1"/>
  <c r="K936"/>
  <c r="L931"/>
  <c r="K931"/>
  <c r="K930" s="1"/>
  <c r="K929" s="1"/>
  <c r="L926"/>
  <c r="K926"/>
  <c r="L922"/>
  <c r="L921" s="1"/>
  <c r="L920" s="1"/>
  <c r="K922"/>
  <c r="K921" s="1"/>
  <c r="K920" s="1"/>
  <c r="L917"/>
  <c r="K917"/>
  <c r="L913"/>
  <c r="L912" s="1"/>
  <c r="L911" s="1"/>
  <c r="K913"/>
  <c r="K912" s="1"/>
  <c r="K911" s="1"/>
  <c r="L907"/>
  <c r="K907"/>
  <c r="L898"/>
  <c r="L897" s="1"/>
  <c r="L896" s="1"/>
  <c r="K898"/>
  <c r="K897" s="1"/>
  <c r="K896" s="1"/>
  <c r="L894"/>
  <c r="K894"/>
  <c r="L891"/>
  <c r="L890" s="1"/>
  <c r="K891"/>
  <c r="K890" s="1"/>
  <c r="L882"/>
  <c r="K882"/>
  <c r="L879"/>
  <c r="L878" s="1"/>
  <c r="K879"/>
  <c r="K878" s="1"/>
  <c r="L875"/>
  <c r="K875"/>
  <c r="L872"/>
  <c r="L871" s="1"/>
  <c r="K872"/>
  <c r="K871" s="1"/>
  <c r="L868"/>
  <c r="K868"/>
  <c r="L865"/>
  <c r="L864" s="1"/>
  <c r="K865"/>
  <c r="K864" s="1"/>
  <c r="L861"/>
  <c r="K861"/>
  <c r="L857"/>
  <c r="L856" s="1"/>
  <c r="K857"/>
  <c r="K856" s="1"/>
  <c r="L853"/>
  <c r="K853"/>
  <c r="L850"/>
  <c r="L849" s="1"/>
  <c r="K850"/>
  <c r="K849" s="1"/>
  <c r="L843"/>
  <c r="K843"/>
  <c r="L840"/>
  <c r="L749" s="1"/>
  <c r="K840"/>
  <c r="K749" s="1"/>
  <c r="L838"/>
  <c r="K838"/>
  <c r="L837"/>
  <c r="L739" s="1"/>
  <c r="K837"/>
  <c r="K739" s="1"/>
  <c r="L836"/>
  <c r="L738" s="1"/>
  <c r="K836"/>
  <c r="K738" s="1"/>
  <c r="L829"/>
  <c r="L828" s="1"/>
  <c r="L827" s="1"/>
  <c r="K829"/>
  <c r="K828" s="1"/>
  <c r="K827" s="1"/>
  <c r="L823"/>
  <c r="L821" s="1"/>
  <c r="K823"/>
  <c r="K821" s="1"/>
  <c r="L817"/>
  <c r="L816" s="1"/>
  <c r="K817"/>
  <c r="K815" s="1"/>
  <c r="L811"/>
  <c r="L810" s="1"/>
  <c r="L809" s="1"/>
  <c r="K811"/>
  <c r="K810" s="1"/>
  <c r="K809" s="1"/>
  <c r="L805"/>
  <c r="L804" s="1"/>
  <c r="K805"/>
  <c r="K804" s="1"/>
  <c r="L800"/>
  <c r="L799" s="1"/>
  <c r="K800"/>
  <c r="K799" s="1"/>
  <c r="L795"/>
  <c r="L794" s="1"/>
  <c r="K795"/>
  <c r="K794" s="1"/>
  <c r="L790"/>
  <c r="L789" s="1"/>
  <c r="K790"/>
  <c r="K789" s="1"/>
  <c r="L785"/>
  <c r="L784" s="1"/>
  <c r="L783" s="1"/>
  <c r="K785"/>
  <c r="K784" s="1"/>
  <c r="K783" s="1"/>
  <c r="L779"/>
  <c r="L778" s="1"/>
  <c r="L777" s="1"/>
  <c r="K779"/>
  <c r="K778" s="1"/>
  <c r="K777" s="1"/>
  <c r="L762"/>
  <c r="K762"/>
  <c r="K760" s="1"/>
  <c r="K84" s="1"/>
  <c r="L755"/>
  <c r="L743"/>
  <c r="K743"/>
  <c r="L741"/>
  <c r="L459" s="1"/>
  <c r="K741"/>
  <c r="K459" s="1"/>
  <c r="L733"/>
  <c r="K733"/>
  <c r="L732"/>
  <c r="L731" s="1"/>
  <c r="K732"/>
  <c r="K731" s="1"/>
  <c r="L728"/>
  <c r="K728"/>
  <c r="L727"/>
  <c r="L726" s="1"/>
  <c r="K727"/>
  <c r="K726" s="1"/>
  <c r="L723"/>
  <c r="K723"/>
  <c r="L719"/>
  <c r="L718" s="1"/>
  <c r="L717" s="1"/>
  <c r="K719"/>
  <c r="K718" s="1"/>
  <c r="K717" s="1"/>
  <c r="L713"/>
  <c r="L712" s="1"/>
  <c r="L711" s="1"/>
  <c r="K713"/>
  <c r="K712" s="1"/>
  <c r="K711" s="1"/>
  <c r="L709"/>
  <c r="K709"/>
  <c r="L706"/>
  <c r="L705" s="1"/>
  <c r="L704" s="1"/>
  <c r="K706"/>
  <c r="K705" s="1"/>
  <c r="K704" s="1"/>
  <c r="L701"/>
  <c r="L697"/>
  <c r="L696" s="1"/>
  <c r="L695" s="1"/>
  <c r="K697"/>
  <c r="K696" s="1"/>
  <c r="K695" s="1"/>
  <c r="K694" s="1"/>
  <c r="L692"/>
  <c r="R692" s="1"/>
  <c r="K692"/>
  <c r="L688"/>
  <c r="K688"/>
  <c r="K687" s="1"/>
  <c r="K686" s="1"/>
  <c r="L682"/>
  <c r="R682" s="1"/>
  <c r="K682"/>
  <c r="L678"/>
  <c r="K678"/>
  <c r="K677" s="1"/>
  <c r="K676" s="1"/>
  <c r="L671"/>
  <c r="L670" s="1"/>
  <c r="L669" s="1"/>
  <c r="K671"/>
  <c r="K670" s="1"/>
  <c r="K669" s="1"/>
  <c r="L661"/>
  <c r="K661"/>
  <c r="L657"/>
  <c r="L656" s="1"/>
  <c r="L655" s="1"/>
  <c r="K657"/>
  <c r="K656" s="1"/>
  <c r="K655" s="1"/>
  <c r="L651"/>
  <c r="R651" s="1"/>
  <c r="K651"/>
  <c r="L646"/>
  <c r="R646" s="1"/>
  <c r="K646"/>
  <c r="K645" s="1"/>
  <c r="L641"/>
  <c r="K641"/>
  <c r="L640"/>
  <c r="R640" s="1"/>
  <c r="K640"/>
  <c r="L638"/>
  <c r="K638"/>
  <c r="L637"/>
  <c r="K637"/>
  <c r="L635"/>
  <c r="K635"/>
  <c r="L630"/>
  <c r="L629" s="1"/>
  <c r="K630"/>
  <c r="K629" s="1"/>
  <c r="L627"/>
  <c r="L626" s="1"/>
  <c r="K627"/>
  <c r="K626" s="1"/>
  <c r="L624"/>
  <c r="L623" s="1"/>
  <c r="K624"/>
  <c r="K623" s="1"/>
  <c r="L621"/>
  <c r="L620" s="1"/>
  <c r="K621"/>
  <c r="K620" s="1"/>
  <c r="L618"/>
  <c r="L617" s="1"/>
  <c r="K618"/>
  <c r="K617" s="1"/>
  <c r="L615"/>
  <c r="L614" s="1"/>
  <c r="K615"/>
  <c r="K614" s="1"/>
  <c r="L610"/>
  <c r="K610"/>
  <c r="K609" s="1"/>
  <c r="K608" s="1"/>
  <c r="K607" s="1"/>
  <c r="L604"/>
  <c r="K604"/>
  <c r="K603" s="1"/>
  <c r="K602" s="1"/>
  <c r="K601" s="1"/>
  <c r="L598"/>
  <c r="K598"/>
  <c r="K597" s="1"/>
  <c r="K596" s="1"/>
  <c r="K595" s="1"/>
  <c r="L592"/>
  <c r="K592"/>
  <c r="K591" s="1"/>
  <c r="K590" s="1"/>
  <c r="K589" s="1"/>
  <c r="L586"/>
  <c r="K586"/>
  <c r="L576"/>
  <c r="K576"/>
  <c r="L574"/>
  <c r="K574"/>
  <c r="K573" s="1"/>
  <c r="K572" s="1"/>
  <c r="L568"/>
  <c r="K568"/>
  <c r="L562"/>
  <c r="L561" s="1"/>
  <c r="K562"/>
  <c r="K561" s="1"/>
  <c r="L556"/>
  <c r="K556"/>
  <c r="K555" s="1"/>
  <c r="K554" s="1"/>
  <c r="K23" s="1"/>
  <c r="L552"/>
  <c r="K552"/>
  <c r="L544"/>
  <c r="R544" s="1"/>
  <c r="K544"/>
  <c r="L541"/>
  <c r="K541"/>
  <c r="L533"/>
  <c r="R533" s="1"/>
  <c r="K533"/>
  <c r="L530"/>
  <c r="K530"/>
  <c r="L522"/>
  <c r="R522" s="1"/>
  <c r="K522"/>
  <c r="L519"/>
  <c r="K519"/>
  <c r="L511"/>
  <c r="R511" s="1"/>
  <c r="K511"/>
  <c r="L504"/>
  <c r="K504"/>
  <c r="L495"/>
  <c r="R495" s="1"/>
  <c r="L493"/>
  <c r="L482" s="1"/>
  <c r="K493"/>
  <c r="K482" s="1"/>
  <c r="L489"/>
  <c r="L29" s="1"/>
  <c r="K489"/>
  <c r="K477" s="1"/>
  <c r="L488"/>
  <c r="L475" s="1"/>
  <c r="K488"/>
  <c r="K475" s="1"/>
  <c r="L486"/>
  <c r="L474" s="1"/>
  <c r="K486"/>
  <c r="K474" s="1"/>
  <c r="L479"/>
  <c r="L462" s="1"/>
  <c r="K479"/>
  <c r="K462" s="1"/>
  <c r="L476"/>
  <c r="K476"/>
  <c r="L465"/>
  <c r="L238" s="1"/>
  <c r="K465"/>
  <c r="K238" s="1"/>
  <c r="L464"/>
  <c r="K464"/>
  <c r="K237" s="1"/>
  <c r="L449"/>
  <c r="K449"/>
  <c r="L445"/>
  <c r="L444" s="1"/>
  <c r="K445"/>
  <c r="K444" s="1"/>
  <c r="L440"/>
  <c r="K440"/>
  <c r="L438"/>
  <c r="K438"/>
  <c r="K437" s="1"/>
  <c r="L432"/>
  <c r="K432"/>
  <c r="K431" s="1"/>
  <c r="L429"/>
  <c r="R429" s="1"/>
  <c r="K429"/>
  <c r="K428" s="1"/>
  <c r="L423"/>
  <c r="K423"/>
  <c r="L422"/>
  <c r="R422" s="1"/>
  <c r="K422"/>
  <c r="L421"/>
  <c r="K421"/>
  <c r="L415"/>
  <c r="L250" s="1"/>
  <c r="L226" s="1"/>
  <c r="K415"/>
  <c r="K413" s="1"/>
  <c r="L400"/>
  <c r="L399" s="1"/>
  <c r="K400"/>
  <c r="K399" s="1"/>
  <c r="L395"/>
  <c r="K395"/>
  <c r="L391"/>
  <c r="L390" s="1"/>
  <c r="L389" s="1"/>
  <c r="K391"/>
  <c r="K390" s="1"/>
  <c r="K389" s="1"/>
  <c r="L386"/>
  <c r="L385" s="1"/>
  <c r="L384" s="1"/>
  <c r="K386"/>
  <c r="K385" s="1"/>
  <c r="K384" s="1"/>
  <c r="L379"/>
  <c r="L378" s="1"/>
  <c r="L377" s="1"/>
  <c r="K379"/>
  <c r="K378" s="1"/>
  <c r="K377" s="1"/>
  <c r="L373"/>
  <c r="L372" s="1"/>
  <c r="L371" s="1"/>
  <c r="K373"/>
  <c r="K372" s="1"/>
  <c r="K371" s="1"/>
  <c r="L367"/>
  <c r="L285" s="1"/>
  <c r="K367"/>
  <c r="K366" s="1"/>
  <c r="K365" s="1"/>
  <c r="L361"/>
  <c r="L360" s="1"/>
  <c r="L359" s="1"/>
  <c r="K361"/>
  <c r="K360" s="1"/>
  <c r="K359" s="1"/>
  <c r="L355"/>
  <c r="L354" s="1"/>
  <c r="L353" s="1"/>
  <c r="K355"/>
  <c r="K354" s="1"/>
  <c r="K353" s="1"/>
  <c r="L331"/>
  <c r="L330" s="1"/>
  <c r="L329" s="1"/>
  <c r="K331"/>
  <c r="K330" s="1"/>
  <c r="K329" s="1"/>
  <c r="L325"/>
  <c r="L324" s="1"/>
  <c r="L323" s="1"/>
  <c r="K325"/>
  <c r="K324" s="1"/>
  <c r="K323" s="1"/>
  <c r="L319"/>
  <c r="L318" s="1"/>
  <c r="L317" s="1"/>
  <c r="K319"/>
  <c r="K318" s="1"/>
  <c r="K317" s="1"/>
  <c r="L313"/>
  <c r="L312" s="1"/>
  <c r="L311" s="1"/>
  <c r="K313"/>
  <c r="K312" s="1"/>
  <c r="K311" s="1"/>
  <c r="L307"/>
  <c r="K307"/>
  <c r="K306" s="1"/>
  <c r="K305" s="1"/>
  <c r="L264"/>
  <c r="L288"/>
  <c r="K288"/>
  <c r="L287"/>
  <c r="L106" s="1"/>
  <c r="L105" s="1"/>
  <c r="K287"/>
  <c r="K106" s="1"/>
  <c r="K212" s="1"/>
  <c r="K211" s="1"/>
  <c r="L286"/>
  <c r="K286"/>
  <c r="L284"/>
  <c r="K284"/>
  <c r="L283"/>
  <c r="L102" s="1"/>
  <c r="L101" s="1"/>
  <c r="K283"/>
  <c r="K102" s="1"/>
  <c r="K101" s="1"/>
  <c r="L282"/>
  <c r="K282"/>
  <c r="L267"/>
  <c r="R267" s="1"/>
  <c r="K267"/>
  <c r="K266" s="1"/>
  <c r="L255"/>
  <c r="K255"/>
  <c r="L254"/>
  <c r="K254"/>
  <c r="L253"/>
  <c r="K253"/>
  <c r="L251"/>
  <c r="L228" s="1"/>
  <c r="K251"/>
  <c r="K228" s="1"/>
  <c r="L249"/>
  <c r="R249" s="1"/>
  <c r="K249"/>
  <c r="L248"/>
  <c r="K248"/>
  <c r="K201"/>
  <c r="L199"/>
  <c r="K199"/>
  <c r="L196"/>
  <c r="K196"/>
  <c r="L193"/>
  <c r="K193"/>
  <c r="L178"/>
  <c r="R178" s="1"/>
  <c r="K178"/>
  <c r="L177"/>
  <c r="K177"/>
  <c r="L166"/>
  <c r="K166"/>
  <c r="K187" s="1"/>
  <c r="K186" s="1"/>
  <c r="L165"/>
  <c r="R165" s="1"/>
  <c r="K165"/>
  <c r="L163"/>
  <c r="K163"/>
  <c r="K161" s="1"/>
  <c r="L160"/>
  <c r="L159" s="1"/>
  <c r="K160"/>
  <c r="K159" s="1"/>
  <c r="L158"/>
  <c r="K158"/>
  <c r="L156"/>
  <c r="K156"/>
  <c r="L155"/>
  <c r="K155"/>
  <c r="L153"/>
  <c r="L152" s="1"/>
  <c r="K153"/>
  <c r="K152" s="1"/>
  <c r="L150"/>
  <c r="K150"/>
  <c r="L146"/>
  <c r="K146"/>
  <c r="L145"/>
  <c r="K145"/>
  <c r="L144"/>
  <c r="K144"/>
  <c r="L141"/>
  <c r="K141"/>
  <c r="L140"/>
  <c r="K140"/>
  <c r="L138"/>
  <c r="K138"/>
  <c r="L136"/>
  <c r="K136"/>
  <c r="L131"/>
  <c r="K131"/>
  <c r="L130"/>
  <c r="K130"/>
  <c r="L129"/>
  <c r="K129"/>
  <c r="L126"/>
  <c r="K126"/>
  <c r="L125"/>
  <c r="L117"/>
  <c r="K117"/>
  <c r="L110"/>
  <c r="L109" s="1"/>
  <c r="L215" s="1"/>
  <c r="K110"/>
  <c r="K216" s="1"/>
  <c r="L98"/>
  <c r="K98"/>
  <c r="L201"/>
  <c r="L77"/>
  <c r="K77"/>
  <c r="L67"/>
  <c r="R67" s="1"/>
  <c r="K67"/>
  <c r="L65"/>
  <c r="R65" s="1"/>
  <c r="K65"/>
  <c r="L62"/>
  <c r="R62" s="1"/>
  <c r="K62"/>
  <c r="L58"/>
  <c r="R58" s="1"/>
  <c r="K58"/>
  <c r="L56"/>
  <c r="K56"/>
  <c r="L51"/>
  <c r="K51"/>
  <c r="L49"/>
  <c r="L44" s="1"/>
  <c r="K49"/>
  <c r="K44" s="1"/>
  <c r="K147" s="1"/>
  <c r="L40"/>
  <c r="K40"/>
  <c r="L31"/>
  <c r="L135" s="1"/>
  <c r="K31"/>
  <c r="K135" s="1"/>
  <c r="K125"/>
  <c r="L15"/>
  <c r="K15"/>
  <c r="L13"/>
  <c r="L123" s="1"/>
  <c r="L122" s="1"/>
  <c r="K13"/>
  <c r="K123" s="1"/>
  <c r="K122" s="1"/>
  <c r="D931"/>
  <c r="D646"/>
  <c r="E646"/>
  <c r="F1133"/>
  <c r="F1132" s="1"/>
  <c r="F1131" s="1"/>
  <c r="F1127"/>
  <c r="F1126" s="1"/>
  <c r="F1125" s="1"/>
  <c r="F1121"/>
  <c r="F1120" s="1"/>
  <c r="F1119" s="1"/>
  <c r="F1115"/>
  <c r="F1114" s="1"/>
  <c r="F1113" s="1"/>
  <c r="F1101"/>
  <c r="F1100" s="1"/>
  <c r="F1089" s="1"/>
  <c r="F1047" s="1"/>
  <c r="F1093"/>
  <c r="F1082" s="1"/>
  <c r="F1085"/>
  <c r="F1041" s="1"/>
  <c r="F227" s="1"/>
  <c r="F1084"/>
  <c r="F1070"/>
  <c r="F1069"/>
  <c r="F1068" s="1"/>
  <c r="F1067" s="1"/>
  <c r="F1061"/>
  <c r="F1060" s="1"/>
  <c r="F1057"/>
  <c r="F1056" s="1"/>
  <c r="F1055"/>
  <c r="F1043" s="1"/>
  <c r="F1053"/>
  <c r="F1040" s="1"/>
  <c r="F1052"/>
  <c r="F1048"/>
  <c r="F1045"/>
  <c r="F1044"/>
  <c r="F1039"/>
  <c r="F1037"/>
  <c r="F1032"/>
  <c r="F1031" s="1"/>
  <c r="F1017"/>
  <c r="F1016"/>
  <c r="F1012"/>
  <c r="F1011" s="1"/>
  <c r="F1010" s="1"/>
  <c r="F1008"/>
  <c r="F1004" s="1"/>
  <c r="F1002"/>
  <c r="F1001" s="1"/>
  <c r="F996"/>
  <c r="F992"/>
  <c r="F991" s="1"/>
  <c r="F989"/>
  <c r="F985"/>
  <c r="F984" s="1"/>
  <c r="F982"/>
  <c r="F973" s="1"/>
  <c r="F981"/>
  <c r="F972" s="1"/>
  <c r="F978"/>
  <c r="F977"/>
  <c r="F967" s="1"/>
  <c r="F961"/>
  <c r="F960" s="1"/>
  <c r="F959" s="1"/>
  <c r="F957"/>
  <c r="F956" s="1"/>
  <c r="F955" s="1"/>
  <c r="F953"/>
  <c r="F950"/>
  <c r="F949" s="1"/>
  <c r="F948" s="1"/>
  <c r="F945"/>
  <c r="F941"/>
  <c r="F940" s="1"/>
  <c r="F939" s="1"/>
  <c r="F936"/>
  <c r="F931"/>
  <c r="F930" s="1"/>
  <c r="F929" s="1"/>
  <c r="F926"/>
  <c r="F922"/>
  <c r="F921" s="1"/>
  <c r="F920" s="1"/>
  <c r="F917"/>
  <c r="F913"/>
  <c r="F912" s="1"/>
  <c r="F907"/>
  <c r="F901"/>
  <c r="F898"/>
  <c r="F897" s="1"/>
  <c r="F894"/>
  <c r="F891"/>
  <c r="F890" s="1"/>
  <c r="F882"/>
  <c r="F879"/>
  <c r="F878" s="1"/>
  <c r="F875"/>
  <c r="F872"/>
  <c r="F871" s="1"/>
  <c r="F868"/>
  <c r="F865"/>
  <c r="F864" s="1"/>
  <c r="F861"/>
  <c r="F857"/>
  <c r="F856" s="1"/>
  <c r="F853"/>
  <c r="F850"/>
  <c r="F849" s="1"/>
  <c r="F846"/>
  <c r="F843"/>
  <c r="F842" s="1"/>
  <c r="F840"/>
  <c r="F749" s="1"/>
  <c r="F838"/>
  <c r="F837"/>
  <c r="F739" s="1"/>
  <c r="F836"/>
  <c r="F738" s="1"/>
  <c r="F829"/>
  <c r="F828" s="1"/>
  <c r="F827" s="1"/>
  <c r="F823"/>
  <c r="F821" s="1"/>
  <c r="F817"/>
  <c r="F815" s="1"/>
  <c r="F811"/>
  <c r="F810" s="1"/>
  <c r="F809" s="1"/>
  <c r="F805"/>
  <c r="F804" s="1"/>
  <c r="F800"/>
  <c r="F799" s="1"/>
  <c r="F795"/>
  <c r="F794" s="1"/>
  <c r="F790"/>
  <c r="F789" s="1"/>
  <c r="F785"/>
  <c r="F784" s="1"/>
  <c r="F783" s="1"/>
  <c r="F779"/>
  <c r="F778" s="1"/>
  <c r="F777" s="1"/>
  <c r="F762"/>
  <c r="F760" s="1"/>
  <c r="F755"/>
  <c r="F752" s="1"/>
  <c r="F751" s="1"/>
  <c r="F743"/>
  <c r="F741"/>
  <c r="F459" s="1"/>
  <c r="F733"/>
  <c r="F732"/>
  <c r="F731" s="1"/>
  <c r="F728"/>
  <c r="F727"/>
  <c r="F726" s="1"/>
  <c r="F723"/>
  <c r="F719"/>
  <c r="F718" s="1"/>
  <c r="F717" s="1"/>
  <c r="F713"/>
  <c r="F712" s="1"/>
  <c r="F711" s="1"/>
  <c r="F709"/>
  <c r="F706"/>
  <c r="F705" s="1"/>
  <c r="F704" s="1"/>
  <c r="F703" s="1"/>
  <c r="F701"/>
  <c r="F697"/>
  <c r="F696" s="1"/>
  <c r="F695" s="1"/>
  <c r="F692"/>
  <c r="F688"/>
  <c r="F687" s="1"/>
  <c r="F686" s="1"/>
  <c r="F682"/>
  <c r="F678"/>
  <c r="F677" s="1"/>
  <c r="F676" s="1"/>
  <c r="F671"/>
  <c r="F670" s="1"/>
  <c r="F669" s="1"/>
  <c r="F665"/>
  <c r="F664" s="1"/>
  <c r="F663" s="1"/>
  <c r="F661"/>
  <c r="F657"/>
  <c r="F656" s="1"/>
  <c r="F655" s="1"/>
  <c r="F651"/>
  <c r="F646"/>
  <c r="F641"/>
  <c r="F640"/>
  <c r="F638"/>
  <c r="F637"/>
  <c r="F635"/>
  <c r="F630"/>
  <c r="F629" s="1"/>
  <c r="F627"/>
  <c r="F626" s="1"/>
  <c r="F624"/>
  <c r="F623" s="1"/>
  <c r="F621"/>
  <c r="F620" s="1"/>
  <c r="F618"/>
  <c r="F617" s="1"/>
  <c r="F615"/>
  <c r="F614" s="1"/>
  <c r="F610"/>
  <c r="F609" s="1"/>
  <c r="F608" s="1"/>
  <c r="F607" s="1"/>
  <c r="F604"/>
  <c r="F603" s="1"/>
  <c r="F602" s="1"/>
  <c r="F601" s="1"/>
  <c r="F598"/>
  <c r="F597" s="1"/>
  <c r="F596" s="1"/>
  <c r="F595" s="1"/>
  <c r="F592"/>
  <c r="F591" s="1"/>
  <c r="F590" s="1"/>
  <c r="F589" s="1"/>
  <c r="F586"/>
  <c r="F576"/>
  <c r="F574"/>
  <c r="F573" s="1"/>
  <c r="F572" s="1"/>
  <c r="F568"/>
  <c r="F562"/>
  <c r="F561" s="1"/>
  <c r="F556"/>
  <c r="F555" s="1"/>
  <c r="F554" s="1"/>
  <c r="F23" s="1"/>
  <c r="F552"/>
  <c r="F544"/>
  <c r="F541"/>
  <c r="F533"/>
  <c r="F530"/>
  <c r="F522"/>
  <c r="F519"/>
  <c r="F511"/>
  <c r="F505"/>
  <c r="F492" s="1"/>
  <c r="F481" s="1"/>
  <c r="F495"/>
  <c r="F493"/>
  <c r="F482" s="1"/>
  <c r="F489"/>
  <c r="F477" s="1"/>
  <c r="F488"/>
  <c r="F475" s="1"/>
  <c r="F487"/>
  <c r="F486"/>
  <c r="F474" s="1"/>
  <c r="F479"/>
  <c r="F462" s="1"/>
  <c r="F476"/>
  <c r="F467"/>
  <c r="F465"/>
  <c r="F238" s="1"/>
  <c r="F464"/>
  <c r="F237" s="1"/>
  <c r="F449"/>
  <c r="F445"/>
  <c r="F444" s="1"/>
  <c r="F440"/>
  <c r="F438"/>
  <c r="F432"/>
  <c r="F431" s="1"/>
  <c r="F429"/>
  <c r="F428" s="1"/>
  <c r="F423"/>
  <c r="F422"/>
  <c r="F421"/>
  <c r="F415"/>
  <c r="F413" s="1"/>
  <c r="F411" s="1"/>
  <c r="F400"/>
  <c r="F399" s="1"/>
  <c r="F395"/>
  <c r="F391"/>
  <c r="F390" s="1"/>
  <c r="F386"/>
  <c r="F385" s="1"/>
  <c r="F384" s="1"/>
  <c r="F379"/>
  <c r="F378" s="1"/>
  <c r="F377" s="1"/>
  <c r="F373"/>
  <c r="F372" s="1"/>
  <c r="F371" s="1"/>
  <c r="F367"/>
  <c r="F366" s="1"/>
  <c r="F365" s="1"/>
  <c r="F361"/>
  <c r="F360" s="1"/>
  <c r="F359" s="1"/>
  <c r="F355"/>
  <c r="F354" s="1"/>
  <c r="F353" s="1"/>
  <c r="F349"/>
  <c r="F348" s="1"/>
  <c r="F347" s="1"/>
  <c r="F343"/>
  <c r="F342" s="1"/>
  <c r="F341" s="1"/>
  <c r="F337"/>
  <c r="F331"/>
  <c r="F330" s="1"/>
  <c r="F329" s="1"/>
  <c r="F325"/>
  <c r="F324" s="1"/>
  <c r="F323" s="1"/>
  <c r="F319"/>
  <c r="F318" s="1"/>
  <c r="F317" s="1"/>
  <c r="F313"/>
  <c r="F312" s="1"/>
  <c r="F311" s="1"/>
  <c r="F307"/>
  <c r="F306" s="1"/>
  <c r="F305" s="1"/>
  <c r="F288"/>
  <c r="F287"/>
  <c r="F106" s="1"/>
  <c r="F286"/>
  <c r="F284"/>
  <c r="F283"/>
  <c r="F102" s="1"/>
  <c r="F101" s="1"/>
  <c r="F282"/>
  <c r="F267"/>
  <c r="F266" s="1"/>
  <c r="F264"/>
  <c r="F262"/>
  <c r="F261"/>
  <c r="F260"/>
  <c r="F259"/>
  <c r="F257"/>
  <c r="F255"/>
  <c r="F254"/>
  <c r="F253"/>
  <c r="F251"/>
  <c r="F228" s="1"/>
  <c r="F250"/>
  <c r="F226" s="1"/>
  <c r="F249"/>
  <c r="F248"/>
  <c r="F203"/>
  <c r="F201"/>
  <c r="F199"/>
  <c r="F196"/>
  <c r="F193"/>
  <c r="F184"/>
  <c r="F178"/>
  <c r="F177"/>
  <c r="F166"/>
  <c r="F187" s="1"/>
  <c r="F186" s="1"/>
  <c r="F165"/>
  <c r="F163"/>
  <c r="F162"/>
  <c r="F160"/>
  <c r="F159" s="1"/>
  <c r="F158"/>
  <c r="F156"/>
  <c r="F155"/>
  <c r="F153"/>
  <c r="F152" s="1"/>
  <c r="F150"/>
  <c r="F146"/>
  <c r="F145"/>
  <c r="F144"/>
  <c r="F141"/>
  <c r="F140"/>
  <c r="F138"/>
  <c r="F137"/>
  <c r="F136"/>
  <c r="F131"/>
  <c r="F130"/>
  <c r="F129"/>
  <c r="F126"/>
  <c r="F125"/>
  <c r="F117"/>
  <c r="F110"/>
  <c r="F109" s="1"/>
  <c r="F215" s="1"/>
  <c r="F98"/>
  <c r="F77"/>
  <c r="F71"/>
  <c r="F67"/>
  <c r="F65"/>
  <c r="F62"/>
  <c r="F58"/>
  <c r="F56"/>
  <c r="F51"/>
  <c r="F49"/>
  <c r="F44" s="1"/>
  <c r="F40"/>
  <c r="F31"/>
  <c r="F135" s="1"/>
  <c r="F25"/>
  <c r="F134" s="1"/>
  <c r="F15"/>
  <c r="F13"/>
  <c r="F123" s="1"/>
  <c r="F122" s="1"/>
  <c r="E13"/>
  <c r="E123" s="1"/>
  <c r="E122" s="1"/>
  <c r="E15"/>
  <c r="E25"/>
  <c r="E134" s="1"/>
  <c r="E31"/>
  <c r="E135" s="1"/>
  <c r="E40"/>
  <c r="E49"/>
  <c r="E44" s="1"/>
  <c r="E147" s="1"/>
  <c r="E51"/>
  <c r="E56"/>
  <c r="E58"/>
  <c r="E62"/>
  <c r="E67"/>
  <c r="E77"/>
  <c r="E98"/>
  <c r="E110"/>
  <c r="E109" s="1"/>
  <c r="E117"/>
  <c r="E125"/>
  <c r="E126"/>
  <c r="E129"/>
  <c r="E130"/>
  <c r="E131"/>
  <c r="E132"/>
  <c r="E136"/>
  <c r="E138"/>
  <c r="E140"/>
  <c r="E141"/>
  <c r="E144"/>
  <c r="E145"/>
  <c r="E146"/>
  <c r="E150"/>
  <c r="E153"/>
  <c r="E152" s="1"/>
  <c r="E155"/>
  <c r="E156"/>
  <c r="E158"/>
  <c r="E160"/>
  <c r="E159" s="1"/>
  <c r="E163"/>
  <c r="E161" s="1"/>
  <c r="E165"/>
  <c r="E166"/>
  <c r="E187" s="1"/>
  <c r="E186" s="1"/>
  <c r="E177"/>
  <c r="E178"/>
  <c r="E193"/>
  <c r="E196"/>
  <c r="E199"/>
  <c r="E201"/>
  <c r="E248"/>
  <c r="E249"/>
  <c r="E251"/>
  <c r="E228" s="1"/>
  <c r="E253"/>
  <c r="E254"/>
  <c r="E255"/>
  <c r="E264"/>
  <c r="E267"/>
  <c r="E266" s="1"/>
  <c r="E282"/>
  <c r="E283"/>
  <c r="E102" s="1"/>
  <c r="E101" s="1"/>
  <c r="E284"/>
  <c r="E286"/>
  <c r="E287"/>
  <c r="E106" s="1"/>
  <c r="E288"/>
  <c r="E307"/>
  <c r="E306" s="1"/>
  <c r="E305" s="1"/>
  <c r="E313"/>
  <c r="E312" s="1"/>
  <c r="E311" s="1"/>
  <c r="E319"/>
  <c r="E318" s="1"/>
  <c r="E317" s="1"/>
  <c r="E325"/>
  <c r="E324" s="1"/>
  <c r="E323" s="1"/>
  <c r="E331"/>
  <c r="E330" s="1"/>
  <c r="E329" s="1"/>
  <c r="E355"/>
  <c r="E354" s="1"/>
  <c r="E353" s="1"/>
  <c r="E361"/>
  <c r="E360" s="1"/>
  <c r="E359" s="1"/>
  <c r="E367"/>
  <c r="E285" s="1"/>
  <c r="E373"/>
  <c r="E372" s="1"/>
  <c r="E371" s="1"/>
  <c r="E379"/>
  <c r="E378" s="1"/>
  <c r="E377" s="1"/>
  <c r="E386"/>
  <c r="E385" s="1"/>
  <c r="E384" s="1"/>
  <c r="E391"/>
  <c r="E252" s="1"/>
  <c r="E395"/>
  <c r="E400"/>
  <c r="E399" s="1"/>
  <c r="E415"/>
  <c r="E250" s="1"/>
  <c r="E226" s="1"/>
  <c r="E421"/>
  <c r="E422"/>
  <c r="E423"/>
  <c r="E429"/>
  <c r="E432"/>
  <c r="E431" s="1"/>
  <c r="E438"/>
  <c r="E437" s="1"/>
  <c r="E440"/>
  <c r="E445"/>
  <c r="E444" s="1"/>
  <c r="E449"/>
  <c r="E464"/>
  <c r="E237" s="1"/>
  <c r="E465"/>
  <c r="E238" s="1"/>
  <c r="E476"/>
  <c r="E479"/>
  <c r="E462" s="1"/>
  <c r="E480"/>
  <c r="E486"/>
  <c r="E474" s="1"/>
  <c r="E488"/>
  <c r="E475" s="1"/>
  <c r="E489"/>
  <c r="E477" s="1"/>
  <c r="E493"/>
  <c r="E482" s="1"/>
  <c r="E504"/>
  <c r="E511"/>
  <c r="E519"/>
  <c r="E522"/>
  <c r="E530"/>
  <c r="E533"/>
  <c r="E541"/>
  <c r="E544"/>
  <c r="E552"/>
  <c r="E556"/>
  <c r="E555" s="1"/>
  <c r="E554" s="1"/>
  <c r="E562"/>
  <c r="E561" s="1"/>
  <c r="E568"/>
  <c r="E574"/>
  <c r="E573" s="1"/>
  <c r="E572" s="1"/>
  <c r="E576"/>
  <c r="E586"/>
  <c r="E585" s="1"/>
  <c r="E592"/>
  <c r="E591" s="1"/>
  <c r="E590" s="1"/>
  <c r="E589" s="1"/>
  <c r="E598"/>
  <c r="E604"/>
  <c r="E603" s="1"/>
  <c r="E602" s="1"/>
  <c r="E601" s="1"/>
  <c r="E610"/>
  <c r="E609" s="1"/>
  <c r="E608" s="1"/>
  <c r="E607" s="1"/>
  <c r="E615"/>
  <c r="E614" s="1"/>
  <c r="E618"/>
  <c r="E617" s="1"/>
  <c r="E621"/>
  <c r="E620" s="1"/>
  <c r="E624"/>
  <c r="E623" s="1"/>
  <c r="E627"/>
  <c r="E626" s="1"/>
  <c r="E630"/>
  <c r="E629" s="1"/>
  <c r="E635"/>
  <c r="E637"/>
  <c r="E638"/>
  <c r="E640"/>
  <c r="E641"/>
  <c r="E651"/>
  <c r="E657"/>
  <c r="E656" s="1"/>
  <c r="E655" s="1"/>
  <c r="E661"/>
  <c r="E671"/>
  <c r="E670" s="1"/>
  <c r="E669" s="1"/>
  <c r="E678"/>
  <c r="E677" s="1"/>
  <c r="E676" s="1"/>
  <c r="E682"/>
  <c r="E688"/>
  <c r="E687" s="1"/>
  <c r="E686" s="1"/>
  <c r="E692"/>
  <c r="E697"/>
  <c r="E696" s="1"/>
  <c r="E695" s="1"/>
  <c r="E701"/>
  <c r="E706"/>
  <c r="E705" s="1"/>
  <c r="E704" s="1"/>
  <c r="E709"/>
  <c r="E713"/>
  <c r="E712" s="1"/>
  <c r="E711" s="1"/>
  <c r="E719"/>
  <c r="E718" s="1"/>
  <c r="E717" s="1"/>
  <c r="E723"/>
  <c r="E727"/>
  <c r="E726" s="1"/>
  <c r="E728"/>
  <c r="E732"/>
  <c r="E731" s="1"/>
  <c r="E733"/>
  <c r="E741"/>
  <c r="E459" s="1"/>
  <c r="E743"/>
  <c r="E755"/>
  <c r="E752" s="1"/>
  <c r="E751" s="1"/>
  <c r="E762"/>
  <c r="E760" s="1"/>
  <c r="E84" s="1"/>
  <c r="E779"/>
  <c r="E778" s="1"/>
  <c r="E777" s="1"/>
  <c r="E785"/>
  <c r="E784" s="1"/>
  <c r="E783" s="1"/>
  <c r="E790"/>
  <c r="E789" s="1"/>
  <c r="E795"/>
  <c r="E794" s="1"/>
  <c r="E800"/>
  <c r="E799" s="1"/>
  <c r="E805"/>
  <c r="E804" s="1"/>
  <c r="E811"/>
  <c r="E810" s="1"/>
  <c r="E809" s="1"/>
  <c r="E817"/>
  <c r="E816" s="1"/>
  <c r="E823"/>
  <c r="E822" s="1"/>
  <c r="E829"/>
  <c r="E828" s="1"/>
  <c r="E827" s="1"/>
  <c r="E836"/>
  <c r="E738" s="1"/>
  <c r="E837"/>
  <c r="E739" s="1"/>
  <c r="E838"/>
  <c r="E840"/>
  <c r="E749" s="1"/>
  <c r="E843"/>
  <c r="E842" s="1"/>
  <c r="E841" s="1"/>
  <c r="E850"/>
  <c r="E849" s="1"/>
  <c r="E853"/>
  <c r="E857"/>
  <c r="E856" s="1"/>
  <c r="E861"/>
  <c r="E865"/>
  <c r="E864" s="1"/>
  <c r="E868"/>
  <c r="E872"/>
  <c r="E871" s="1"/>
  <c r="E875"/>
  <c r="E879"/>
  <c r="E878" s="1"/>
  <c r="E882"/>
  <c r="E891"/>
  <c r="E890" s="1"/>
  <c r="E894"/>
  <c r="E898"/>
  <c r="E897" s="1"/>
  <c r="E896" s="1"/>
  <c r="E907"/>
  <c r="E913"/>
  <c r="E912" s="1"/>
  <c r="E917"/>
  <c r="E922"/>
  <c r="E921" s="1"/>
  <c r="E920" s="1"/>
  <c r="E926"/>
  <c r="E931"/>
  <c r="E930" s="1"/>
  <c r="E929" s="1"/>
  <c r="E936"/>
  <c r="E941"/>
  <c r="E940" s="1"/>
  <c r="E939" s="1"/>
  <c r="E945"/>
  <c r="E950"/>
  <c r="E949" s="1"/>
  <c r="E948" s="1"/>
  <c r="E953"/>
  <c r="E957"/>
  <c r="E956" s="1"/>
  <c r="E955" s="1"/>
  <c r="E961"/>
  <c r="E960" s="1"/>
  <c r="E959" s="1"/>
  <c r="E977"/>
  <c r="E967" s="1"/>
  <c r="E978"/>
  <c r="E982"/>
  <c r="E973" s="1"/>
  <c r="E985"/>
  <c r="E984" s="1"/>
  <c r="E989"/>
  <c r="E992"/>
  <c r="E991" s="1"/>
  <c r="E996"/>
  <c r="E995" s="1"/>
  <c r="E994" s="1"/>
  <c r="E1002"/>
  <c r="E1001" s="1"/>
  <c r="E1008"/>
  <c r="E1004" s="1"/>
  <c r="E1012"/>
  <c r="E1011" s="1"/>
  <c r="E1017"/>
  <c r="E968" s="1"/>
  <c r="E1032"/>
  <c r="E1031" s="1"/>
  <c r="E1044"/>
  <c r="E1052"/>
  <c r="E1055"/>
  <c r="E1043" s="1"/>
  <c r="E240" s="1"/>
  <c r="E1057"/>
  <c r="E1054" s="1"/>
  <c r="E1061"/>
  <c r="E1051" s="1"/>
  <c r="E1084"/>
  <c r="E1085"/>
  <c r="E1041" s="1"/>
  <c r="E227" s="1"/>
  <c r="E1089"/>
  <c r="E1047" s="1"/>
  <c r="E1093"/>
  <c r="E1092" s="1"/>
  <c r="E1099"/>
  <c r="E1101"/>
  <c r="E1115"/>
  <c r="E1114" s="1"/>
  <c r="E1113" s="1"/>
  <c r="E1121"/>
  <c r="E1127"/>
  <c r="E1126" s="1"/>
  <c r="E1125" s="1"/>
  <c r="E1133"/>
  <c r="E1132" s="1"/>
  <c r="E1131" s="1"/>
  <c r="I1112"/>
  <c r="J289"/>
  <c r="J851"/>
  <c r="D621"/>
  <c r="J1095"/>
  <c r="J1110"/>
  <c r="L187" l="1"/>
  <c r="R187" s="1"/>
  <c r="R166"/>
  <c r="L161"/>
  <c r="R161" s="1"/>
  <c r="R163"/>
  <c r="L930"/>
  <c r="L905" s="1"/>
  <c r="R905" s="1"/>
  <c r="R931"/>
  <c r="L687"/>
  <c r="R688"/>
  <c r="L431"/>
  <c r="R431" s="1"/>
  <c r="R432"/>
  <c r="L1100"/>
  <c r="R1100" s="1"/>
  <c r="R1101"/>
  <c r="L555"/>
  <c r="R556"/>
  <c r="L760"/>
  <c r="R762"/>
  <c r="L609"/>
  <c r="R610"/>
  <c r="L603"/>
  <c r="R604"/>
  <c r="L597"/>
  <c r="R598"/>
  <c r="L591"/>
  <c r="R592"/>
  <c r="L585"/>
  <c r="R586"/>
  <c r="L573"/>
  <c r="R574"/>
  <c r="L677"/>
  <c r="R678"/>
  <c r="E703"/>
  <c r="K461"/>
  <c r="E1056"/>
  <c r="F285"/>
  <c r="L968"/>
  <c r="F164"/>
  <c r="F240"/>
  <c r="E642"/>
  <c r="E468" s="1"/>
  <c r="E241" s="1"/>
  <c r="F947"/>
  <c r="K909"/>
  <c r="K746" s="1"/>
  <c r="K388"/>
  <c r="K947"/>
  <c r="L909"/>
  <c r="E889"/>
  <c r="F560"/>
  <c r="E560"/>
  <c r="L560"/>
  <c r="E436"/>
  <c r="F694"/>
  <c r="F742"/>
  <c r="F460" s="1"/>
  <c r="F231" s="1"/>
  <c r="L938"/>
  <c r="F96"/>
  <c r="F202" s="1"/>
  <c r="E124"/>
  <c r="F938"/>
  <c r="L694"/>
  <c r="K716"/>
  <c r="L252"/>
  <c r="E744"/>
  <c r="F456"/>
  <c r="F1038"/>
  <c r="E855"/>
  <c r="E366"/>
  <c r="E365" s="1"/>
  <c r="F980"/>
  <c r="F971" s="1"/>
  <c r="L1038"/>
  <c r="E154"/>
  <c r="E863"/>
  <c r="E821"/>
  <c r="E694"/>
  <c r="E424"/>
  <c r="F143"/>
  <c r="F877"/>
  <c r="F412"/>
  <c r="F571"/>
  <c r="K164"/>
  <c r="L494"/>
  <c r="R494" s="1"/>
  <c r="L532"/>
  <c r="R532" s="1"/>
  <c r="L855"/>
  <c r="L877"/>
  <c r="K938"/>
  <c r="E938"/>
  <c r="E877"/>
  <c r="E571"/>
  <c r="E164"/>
  <c r="L848"/>
  <c r="L461"/>
  <c r="L654"/>
  <c r="F928"/>
  <c r="L703"/>
  <c r="L908"/>
  <c r="R908" s="1"/>
  <c r="F154"/>
  <c r="F968"/>
  <c r="L510"/>
  <c r="R510" s="1"/>
  <c r="L742"/>
  <c r="R742" s="1"/>
  <c r="F835"/>
  <c r="E461"/>
  <c r="E232" s="1"/>
  <c r="E909"/>
  <c r="E746" s="1"/>
  <c r="F675"/>
  <c r="E1038"/>
  <c r="E1000"/>
  <c r="E947"/>
  <c r="E848"/>
  <c r="E685"/>
  <c r="E510"/>
  <c r="E443"/>
  <c r="E442" s="1"/>
  <c r="F124"/>
  <c r="F1046"/>
  <c r="L716"/>
  <c r="L230"/>
  <c r="F582"/>
  <c r="K230"/>
  <c r="L815"/>
  <c r="L766" s="1"/>
  <c r="L744"/>
  <c r="E636"/>
  <c r="E216"/>
  <c r="E645"/>
  <c r="E634" s="1"/>
  <c r="F909"/>
  <c r="F746" s="1"/>
  <c r="F466" s="1"/>
  <c r="F239" s="1"/>
  <c r="F1092"/>
  <c r="F1081" s="1"/>
  <c r="K855"/>
  <c r="E1016"/>
  <c r="E234"/>
  <c r="E96"/>
  <c r="E202" s="1"/>
  <c r="E191" s="1"/>
  <c r="F161"/>
  <c r="F443"/>
  <c r="F442" s="1"/>
  <c r="F889"/>
  <c r="L521"/>
  <c r="R521" s="1"/>
  <c r="K979"/>
  <c r="K969" s="1"/>
  <c r="E919"/>
  <c r="F636"/>
  <c r="L388"/>
  <c r="K109"/>
  <c r="K215" s="1"/>
  <c r="K285"/>
  <c r="K571"/>
  <c r="F147"/>
  <c r="F39"/>
  <c r="F398"/>
  <c r="F397" s="1"/>
  <c r="F256"/>
  <c r="F233" s="1"/>
  <c r="F685"/>
  <c r="L413"/>
  <c r="L411" s="1"/>
  <c r="E1060"/>
  <c r="E1059" s="1"/>
  <c r="E1049" s="1"/>
  <c r="E521"/>
  <c r="F521"/>
  <c r="F822"/>
  <c r="F855"/>
  <c r="F906"/>
  <c r="F740" s="1"/>
  <c r="K96"/>
  <c r="K202" s="1"/>
  <c r="K191" s="1"/>
  <c r="L919"/>
  <c r="L947"/>
  <c r="K1000"/>
  <c r="K1031"/>
  <c r="K1030" s="1"/>
  <c r="K1014" s="1"/>
  <c r="E230"/>
  <c r="E742"/>
  <c r="E460" s="1"/>
  <c r="E231" s="1"/>
  <c r="E675"/>
  <c r="E39"/>
  <c r="F532"/>
  <c r="E815"/>
  <c r="E716"/>
  <c r="E532"/>
  <c r="F510"/>
  <c r="F461"/>
  <c r="F232" s="1"/>
  <c r="F716"/>
  <c r="F816"/>
  <c r="F848"/>
  <c r="F896"/>
  <c r="L124"/>
  <c r="L425"/>
  <c r="R425" s="1"/>
  <c r="L863"/>
  <c r="L889"/>
  <c r="L1054"/>
  <c r="E928"/>
  <c r="E639"/>
  <c r="E420"/>
  <c r="F1054"/>
  <c r="K510"/>
  <c r="K863"/>
  <c r="E543"/>
  <c r="E143"/>
  <c r="L491"/>
  <c r="L480" s="1"/>
  <c r="K1038"/>
  <c r="F470"/>
  <c r="K744"/>
  <c r="E582"/>
  <c r="F191"/>
  <c r="F252"/>
  <c r="F654"/>
  <c r="F908"/>
  <c r="K532"/>
  <c r="E839"/>
  <c r="E654"/>
  <c r="F420"/>
  <c r="F543"/>
  <c r="F870"/>
  <c r="F919"/>
  <c r="L436"/>
  <c r="L839"/>
  <c r="K928"/>
  <c r="F585"/>
  <c r="F863"/>
  <c r="F995"/>
  <c r="F994" s="1"/>
  <c r="E1088"/>
  <c r="E1086" s="1"/>
  <c r="E1042" s="1"/>
  <c r="E281"/>
  <c r="E280" s="1"/>
  <c r="E274" s="1"/>
  <c r="E265" s="1"/>
  <c r="F645"/>
  <c r="F644" s="1"/>
  <c r="F633" s="1"/>
  <c r="E908"/>
  <c r="E870"/>
  <c r="F234"/>
  <c r="F839"/>
  <c r="L96"/>
  <c r="L202" s="1"/>
  <c r="L191" s="1"/>
  <c r="K521"/>
  <c r="K870"/>
  <c r="L1000"/>
  <c r="L1031"/>
  <c r="L1015" s="1"/>
  <c r="K1056"/>
  <c r="K889"/>
  <c r="F744"/>
  <c r="E835"/>
  <c r="K822"/>
  <c r="K675"/>
  <c r="K984"/>
  <c r="K983" s="1"/>
  <c r="K560"/>
  <c r="K424"/>
  <c r="K443"/>
  <c r="K442" s="1"/>
  <c r="K425"/>
  <c r="E456"/>
  <c r="E224" s="1"/>
  <c r="E457"/>
  <c r="E485"/>
  <c r="E473" s="1"/>
  <c r="L366"/>
  <c r="L365" s="1"/>
  <c r="L281"/>
  <c r="L280" s="1"/>
  <c r="L263" s="1"/>
  <c r="L258" s="1"/>
  <c r="K281"/>
  <c r="K105"/>
  <c r="K816"/>
  <c r="L822"/>
  <c r="L1088"/>
  <c r="K1089"/>
  <c r="K1047" s="1"/>
  <c r="K1082"/>
  <c r="L1050"/>
  <c r="L1059"/>
  <c r="L1049" s="1"/>
  <c r="L1051"/>
  <c r="K1051"/>
  <c r="K968"/>
  <c r="K919"/>
  <c r="K908"/>
  <c r="L906"/>
  <c r="L470"/>
  <c r="K839"/>
  <c r="K877"/>
  <c r="L456"/>
  <c r="L224" s="1"/>
  <c r="L870"/>
  <c r="L835"/>
  <c r="K848"/>
  <c r="K470"/>
  <c r="K835"/>
  <c r="L842"/>
  <c r="L841" s="1"/>
  <c r="K842"/>
  <c r="K834" s="1"/>
  <c r="K456"/>
  <c r="K224" s="1"/>
  <c r="L752"/>
  <c r="L751" s="1"/>
  <c r="K232"/>
  <c r="K703"/>
  <c r="K685"/>
  <c r="K654"/>
  <c r="L636"/>
  <c r="R636" s="1"/>
  <c r="K634"/>
  <c r="K466"/>
  <c r="K239" s="1"/>
  <c r="K582"/>
  <c r="L582"/>
  <c r="R582" s="1"/>
  <c r="K585"/>
  <c r="K584" s="1"/>
  <c r="K583" s="1"/>
  <c r="K579" s="1"/>
  <c r="L237"/>
  <c r="K543"/>
  <c r="K491"/>
  <c r="K480" s="1"/>
  <c r="K485"/>
  <c r="K473" s="1"/>
  <c r="L457"/>
  <c r="L225" s="1"/>
  <c r="R225" s="1"/>
  <c r="L25"/>
  <c r="R25" s="1"/>
  <c r="L477"/>
  <c r="R477" s="1"/>
  <c r="K29"/>
  <c r="K495"/>
  <c r="K494" s="1"/>
  <c r="L443"/>
  <c r="L442" s="1"/>
  <c r="L420"/>
  <c r="R420" s="1"/>
  <c r="K436"/>
  <c r="L428"/>
  <c r="K252"/>
  <c r="L164"/>
  <c r="R164" s="1"/>
  <c r="L154"/>
  <c r="K154"/>
  <c r="L143"/>
  <c r="K143"/>
  <c r="K124"/>
  <c r="L207"/>
  <c r="L208"/>
  <c r="L100"/>
  <c r="L206" s="1"/>
  <c r="K176"/>
  <c r="K172" s="1"/>
  <c r="K171" s="1"/>
  <c r="K411"/>
  <c r="K412"/>
  <c r="K751"/>
  <c r="L910"/>
  <c r="K1046"/>
  <c r="L1046"/>
  <c r="K639"/>
  <c r="L485"/>
  <c r="L543"/>
  <c r="R543" s="1"/>
  <c r="K208"/>
  <c r="K207"/>
  <c r="K419"/>
  <c r="K427"/>
  <c r="K910"/>
  <c r="K904"/>
  <c r="L484"/>
  <c r="R484" s="1"/>
  <c r="L639"/>
  <c r="R639" s="1"/>
  <c r="K966"/>
  <c r="L398"/>
  <c r="L397" s="1"/>
  <c r="L256"/>
  <c r="L233" s="1"/>
  <c r="L613"/>
  <c r="L979"/>
  <c r="L969" s="1"/>
  <c r="K398"/>
  <c r="K397" s="1"/>
  <c r="K256"/>
  <c r="K233" s="1"/>
  <c r="L983"/>
  <c r="L975"/>
  <c r="K613"/>
  <c r="L147"/>
  <c r="L39"/>
  <c r="R39" s="1"/>
  <c r="K27"/>
  <c r="K457"/>
  <c r="K132"/>
  <c r="K1050"/>
  <c r="K1035" s="1"/>
  <c r="K1059"/>
  <c r="K766"/>
  <c r="K39"/>
  <c r="K1091"/>
  <c r="K1080" s="1"/>
  <c r="K247"/>
  <c r="K264"/>
  <c r="L437"/>
  <c r="L645"/>
  <c r="R645" s="1"/>
  <c r="L976"/>
  <c r="L966" s="1"/>
  <c r="L216"/>
  <c r="L834"/>
  <c r="L1093"/>
  <c r="L306"/>
  <c r="L305" s="1"/>
  <c r="K420"/>
  <c r="K644"/>
  <c r="L212"/>
  <c r="L211" s="1"/>
  <c r="K742"/>
  <c r="K460" s="1"/>
  <c r="K231" s="1"/>
  <c r="K906"/>
  <c r="K740" s="1"/>
  <c r="K250"/>
  <c r="K226" s="1"/>
  <c r="L642"/>
  <c r="L266"/>
  <c r="R266" s="1"/>
  <c r="K636"/>
  <c r="K642"/>
  <c r="K468" s="1"/>
  <c r="K241" s="1"/>
  <c r="K905"/>
  <c r="K1088"/>
  <c r="F457"/>
  <c r="F105"/>
  <c r="F100" s="1"/>
  <c r="F206" s="1"/>
  <c r="F212"/>
  <c r="F211" s="1"/>
  <c r="F911"/>
  <c r="F905"/>
  <c r="F639"/>
  <c r="F230"/>
  <c r="F613"/>
  <c r="F389"/>
  <c r="F388" s="1"/>
  <c r="F247"/>
  <c r="F424"/>
  <c r="F427"/>
  <c r="F1059"/>
  <c r="F1049" s="1"/>
  <c r="F1050"/>
  <c r="F766"/>
  <c r="F834"/>
  <c r="F841"/>
  <c r="F484"/>
  <c r="F472" s="1"/>
  <c r="F207"/>
  <c r="F208"/>
  <c r="F84"/>
  <c r="F975"/>
  <c r="F983"/>
  <c r="F1015"/>
  <c r="F1030"/>
  <c r="F1014" s="1"/>
  <c r="F224"/>
  <c r="F19"/>
  <c r="F18" s="1"/>
  <c r="F132"/>
  <c r="F128" s="1"/>
  <c r="F127" s="1"/>
  <c r="F436"/>
  <c r="F642"/>
  <c r="F468" s="1"/>
  <c r="F241" s="1"/>
  <c r="F1000"/>
  <c r="F281"/>
  <c r="F336"/>
  <c r="F335" s="1"/>
  <c r="F1099"/>
  <c r="F216"/>
  <c r="F425"/>
  <c r="F976"/>
  <c r="F966" s="1"/>
  <c r="F1051"/>
  <c r="F1036" s="1"/>
  <c r="F485"/>
  <c r="F473" s="1"/>
  <c r="F504"/>
  <c r="F491" s="1"/>
  <c r="F480" s="1"/>
  <c r="F437"/>
  <c r="F419" s="1"/>
  <c r="F1088"/>
  <c r="F1086" s="1"/>
  <c r="E584"/>
  <c r="E212"/>
  <c r="E211" s="1"/>
  <c r="E105"/>
  <c r="E100" s="1"/>
  <c r="E613"/>
  <c r="E176"/>
  <c r="E172" s="1"/>
  <c r="E171" s="1"/>
  <c r="E398"/>
  <c r="E397" s="1"/>
  <c r="E256"/>
  <c r="E233" s="1"/>
  <c r="E128"/>
  <c r="E127" s="1"/>
  <c r="E470"/>
  <c r="E644"/>
  <c r="E1091"/>
  <c r="E1081"/>
  <c r="E979"/>
  <c r="E969" s="1"/>
  <c r="E1015"/>
  <c r="E1030"/>
  <c r="E1014" s="1"/>
  <c r="E983"/>
  <c r="E974" s="1"/>
  <c r="E975"/>
  <c r="E207"/>
  <c r="E208"/>
  <c r="E911"/>
  <c r="E905"/>
  <c r="E466"/>
  <c r="E239" s="1"/>
  <c r="E976"/>
  <c r="E966" s="1"/>
  <c r="E834"/>
  <c r="E425"/>
  <c r="E597"/>
  <c r="E596" s="1"/>
  <c r="E595" s="1"/>
  <c r="E1082"/>
  <c r="E1036" s="1"/>
  <c r="E1050"/>
  <c r="E906"/>
  <c r="E740" s="1"/>
  <c r="E495"/>
  <c r="E428"/>
  <c r="E413"/>
  <c r="E19"/>
  <c r="E18" s="1"/>
  <c r="E1120"/>
  <c r="E1119" s="1"/>
  <c r="E1046" s="1"/>
  <c r="E390"/>
  <c r="I65"/>
  <c r="J65"/>
  <c r="T65"/>
  <c r="U65"/>
  <c r="J328"/>
  <c r="J793"/>
  <c r="J798"/>
  <c r="J808"/>
  <c r="J95"/>
  <c r="I1110"/>
  <c r="J110"/>
  <c r="J216" s="1"/>
  <c r="S110"/>
  <c r="S216" s="1"/>
  <c r="T110"/>
  <c r="T216" s="1"/>
  <c r="U110"/>
  <c r="U216" s="1"/>
  <c r="I16"/>
  <c r="I289"/>
  <c r="I1111"/>
  <c r="D391"/>
  <c r="H391"/>
  <c r="H390" s="1"/>
  <c r="H389" s="1"/>
  <c r="I110"/>
  <c r="I216" s="1"/>
  <c r="G868"/>
  <c r="H868"/>
  <c r="I868"/>
  <c r="J868"/>
  <c r="S868"/>
  <c r="T868"/>
  <c r="U868"/>
  <c r="G1127"/>
  <c r="G1126" s="1"/>
  <c r="G1125" s="1"/>
  <c r="H1127"/>
  <c r="H1126" s="1"/>
  <c r="H1125" s="1"/>
  <c r="I1127"/>
  <c r="I1126" s="1"/>
  <c r="I1125" s="1"/>
  <c r="J1127"/>
  <c r="J1126" s="1"/>
  <c r="J1125" s="1"/>
  <c r="S1127"/>
  <c r="S1126" s="1"/>
  <c r="S1125" s="1"/>
  <c r="T1127"/>
  <c r="T1126" s="1"/>
  <c r="T1125" s="1"/>
  <c r="U1127"/>
  <c r="U1126" s="1"/>
  <c r="U1125" s="1"/>
  <c r="D1127"/>
  <c r="D1126" s="1"/>
  <c r="D1125" s="1"/>
  <c r="C1126"/>
  <c r="C1125" s="1"/>
  <c r="G953"/>
  <c r="H953"/>
  <c r="I953"/>
  <c r="J953"/>
  <c r="S953"/>
  <c r="T953"/>
  <c r="U953"/>
  <c r="G945"/>
  <c r="H945"/>
  <c r="I945"/>
  <c r="J945"/>
  <c r="S945"/>
  <c r="T945"/>
  <c r="U945"/>
  <c r="G936"/>
  <c r="H936"/>
  <c r="I936"/>
  <c r="J936"/>
  <c r="S936"/>
  <c r="T936"/>
  <c r="U936"/>
  <c r="L186" l="1"/>
  <c r="R186" s="1"/>
  <c r="L746"/>
  <c r="R909"/>
  <c r="L929"/>
  <c r="R930"/>
  <c r="L740"/>
  <c r="R740" s="1"/>
  <c r="R906"/>
  <c r="L686"/>
  <c r="R687"/>
  <c r="L468"/>
  <c r="R642"/>
  <c r="F634"/>
  <c r="L427"/>
  <c r="R427" s="1"/>
  <c r="R428"/>
  <c r="L424"/>
  <c r="R424" s="1"/>
  <c r="L1099"/>
  <c r="R1099" s="1"/>
  <c r="L1089"/>
  <c r="L232"/>
  <c r="R232" s="1"/>
  <c r="R461"/>
  <c r="L473"/>
  <c r="R473" s="1"/>
  <c r="R485"/>
  <c r="L554"/>
  <c r="R555"/>
  <c r="L472"/>
  <c r="R472" s="1"/>
  <c r="L84"/>
  <c r="L75" s="1"/>
  <c r="R760"/>
  <c r="L608"/>
  <c r="R609"/>
  <c r="L602"/>
  <c r="R603"/>
  <c r="L596"/>
  <c r="R597"/>
  <c r="L581"/>
  <c r="R581" s="1"/>
  <c r="L590"/>
  <c r="R591"/>
  <c r="L584"/>
  <c r="R585"/>
  <c r="L572"/>
  <c r="R573"/>
  <c r="L676"/>
  <c r="R677"/>
  <c r="F280"/>
  <c r="F246"/>
  <c r="K142"/>
  <c r="F225"/>
  <c r="E766"/>
  <c r="E748" s="1"/>
  <c r="E469" s="1"/>
  <c r="F142"/>
  <c r="F1042"/>
  <c r="K383"/>
  <c r="F1035"/>
  <c r="F643"/>
  <c r="F632" s="1"/>
  <c r="F383"/>
  <c r="F243"/>
  <c r="E225"/>
  <c r="F458"/>
  <c r="F229" s="1"/>
  <c r="E263"/>
  <c r="E258" s="1"/>
  <c r="F737"/>
  <c r="F494"/>
  <c r="F483" s="1"/>
  <c r="F471" s="1"/>
  <c r="F426"/>
  <c r="F418" s="1"/>
  <c r="K25"/>
  <c r="L833"/>
  <c r="L460"/>
  <c r="L383"/>
  <c r="K1086"/>
  <c r="K1042" s="1"/>
  <c r="K100"/>
  <c r="K206" s="1"/>
  <c r="K185" s="1"/>
  <c r="K225"/>
  <c r="E75"/>
  <c r="E74" s="1"/>
  <c r="E12" s="1"/>
  <c r="F236"/>
  <c r="L412"/>
  <c r="L246" s="1"/>
  <c r="R246" s="1"/>
  <c r="K75"/>
  <c r="K74" s="1"/>
  <c r="L247"/>
  <c r="R247" s="1"/>
  <c r="E458"/>
  <c r="E229" s="1"/>
  <c r="E142"/>
  <c r="E121" s="1"/>
  <c r="F1091"/>
  <c r="F1080" s="1"/>
  <c r="F1034" s="1"/>
  <c r="E243"/>
  <c r="L483"/>
  <c r="R483" s="1"/>
  <c r="F185"/>
  <c r="K1015"/>
  <c r="K1036"/>
  <c r="E1035"/>
  <c r="F979"/>
  <c r="F969" s="1"/>
  <c r="K1049"/>
  <c r="K1034" s="1"/>
  <c r="L1030"/>
  <c r="L1014" s="1"/>
  <c r="E833"/>
  <c r="L974"/>
  <c r="F833"/>
  <c r="L965"/>
  <c r="K974"/>
  <c r="K964" s="1"/>
  <c r="K280"/>
  <c r="K263" s="1"/>
  <c r="K258" s="1"/>
  <c r="K903"/>
  <c r="E737"/>
  <c r="K570"/>
  <c r="E964"/>
  <c r="E581"/>
  <c r="E965"/>
  <c r="F584"/>
  <c r="F581"/>
  <c r="K458"/>
  <c r="K229" s="1"/>
  <c r="K581"/>
  <c r="K580"/>
  <c r="K841"/>
  <c r="K833" s="1"/>
  <c r="K975"/>
  <c r="K426"/>
  <c r="K418" s="1"/>
  <c r="L419"/>
  <c r="R419" s="1"/>
  <c r="K483"/>
  <c r="K471" s="1"/>
  <c r="K484"/>
  <c r="K472" s="1"/>
  <c r="L274"/>
  <c r="L265" s="1"/>
  <c r="R265" s="1"/>
  <c r="L737"/>
  <c r="R737" s="1"/>
  <c r="K737"/>
  <c r="K236"/>
  <c r="L134"/>
  <c r="R134" s="1"/>
  <c r="K246"/>
  <c r="L142"/>
  <c r="R142" s="1"/>
  <c r="K736"/>
  <c r="L748"/>
  <c r="L469" s="1"/>
  <c r="L242" s="1"/>
  <c r="L765"/>
  <c r="L745" s="1"/>
  <c r="K643"/>
  <c r="K632" s="1"/>
  <c r="K633"/>
  <c r="L634"/>
  <c r="R634" s="1"/>
  <c r="L644"/>
  <c r="R644" s="1"/>
  <c r="K748"/>
  <c r="K469" s="1"/>
  <c r="K765"/>
  <c r="K745" s="1"/>
  <c r="K463" s="1"/>
  <c r="K243"/>
  <c r="L1082"/>
  <c r="L1036" s="1"/>
  <c r="L1092"/>
  <c r="F910"/>
  <c r="F903" s="1"/>
  <c r="F904"/>
  <c r="F736" s="1"/>
  <c r="F176"/>
  <c r="F172" s="1"/>
  <c r="F171" s="1"/>
  <c r="F75"/>
  <c r="F74" s="1"/>
  <c r="F12" s="1"/>
  <c r="F263"/>
  <c r="F274"/>
  <c r="F265" s="1"/>
  <c r="F245" s="1"/>
  <c r="F748"/>
  <c r="F469" s="1"/>
  <c r="F765"/>
  <c r="F965"/>
  <c r="F974"/>
  <c r="F964" s="1"/>
  <c r="E206"/>
  <c r="E185" s="1"/>
  <c r="E633"/>
  <c r="E643"/>
  <c r="E632" s="1"/>
  <c r="E484"/>
  <c r="E472" s="1"/>
  <c r="E494"/>
  <c r="E483" s="1"/>
  <c r="E471" s="1"/>
  <c r="E583"/>
  <c r="E579" s="1"/>
  <c r="E570" s="1"/>
  <c r="E580"/>
  <c r="E419"/>
  <c r="E427"/>
  <c r="E426" s="1"/>
  <c r="E418" s="1"/>
  <c r="E910"/>
  <c r="E903" s="1"/>
  <c r="E904"/>
  <c r="E736" s="1"/>
  <c r="E412"/>
  <c r="E411"/>
  <c r="E236"/>
  <c r="E389"/>
  <c r="E247"/>
  <c r="E765"/>
  <c r="E1080"/>
  <c r="E1034" s="1"/>
  <c r="G723"/>
  <c r="H723"/>
  <c r="I723"/>
  <c r="J723"/>
  <c r="S723"/>
  <c r="T723"/>
  <c r="U723"/>
  <c r="G894"/>
  <c r="H894"/>
  <c r="I894"/>
  <c r="J894"/>
  <c r="S894"/>
  <c r="T894"/>
  <c r="U894"/>
  <c r="G882"/>
  <c r="H882"/>
  <c r="I882"/>
  <c r="J882"/>
  <c r="S882"/>
  <c r="T882"/>
  <c r="U882"/>
  <c r="G530"/>
  <c r="H530"/>
  <c r="I530"/>
  <c r="J530"/>
  <c r="S530"/>
  <c r="T530"/>
  <c r="U530"/>
  <c r="G552"/>
  <c r="H552"/>
  <c r="I552"/>
  <c r="J552"/>
  <c r="S552"/>
  <c r="T552"/>
  <c r="U552"/>
  <c r="I432"/>
  <c r="I431" s="1"/>
  <c r="J432"/>
  <c r="J431" s="1"/>
  <c r="S432"/>
  <c r="S431" s="1"/>
  <c r="T432"/>
  <c r="T431" s="1"/>
  <c r="U432"/>
  <c r="U431" s="1"/>
  <c r="I67"/>
  <c r="J67"/>
  <c r="S67"/>
  <c r="T67"/>
  <c r="U67"/>
  <c r="H58"/>
  <c r="I58"/>
  <c r="J58"/>
  <c r="S58"/>
  <c r="T58"/>
  <c r="U58"/>
  <c r="G58"/>
  <c r="J838"/>
  <c r="S838"/>
  <c r="T838"/>
  <c r="U838"/>
  <c r="H838"/>
  <c r="I838"/>
  <c r="G838"/>
  <c r="I861"/>
  <c r="J861"/>
  <c r="S861"/>
  <c r="T861"/>
  <c r="U861"/>
  <c r="L185" l="1"/>
  <c r="R185" s="1"/>
  <c r="R929"/>
  <c r="L904"/>
  <c r="L928"/>
  <c r="L466"/>
  <c r="R746"/>
  <c r="L458"/>
  <c r="L463"/>
  <c r="R463" s="1"/>
  <c r="R745"/>
  <c r="R686"/>
  <c r="L685"/>
  <c r="R685" s="1"/>
  <c r="L241"/>
  <c r="R241" s="1"/>
  <c r="R468"/>
  <c r="L426"/>
  <c r="L1047"/>
  <c r="R1089"/>
  <c r="L1086"/>
  <c r="L471"/>
  <c r="R471" s="1"/>
  <c r="R554"/>
  <c r="L231"/>
  <c r="R231" s="1"/>
  <c r="R460"/>
  <c r="L176"/>
  <c r="R84"/>
  <c r="L607"/>
  <c r="R607" s="1"/>
  <c r="R608"/>
  <c r="L601"/>
  <c r="R601" s="1"/>
  <c r="R602"/>
  <c r="L595"/>
  <c r="R595" s="1"/>
  <c r="R596"/>
  <c r="L589"/>
  <c r="R589" s="1"/>
  <c r="R590"/>
  <c r="R584"/>
  <c r="L580"/>
  <c r="R580" s="1"/>
  <c r="L583"/>
  <c r="L74"/>
  <c r="R74" s="1"/>
  <c r="R75"/>
  <c r="R572"/>
  <c r="L571"/>
  <c r="R676"/>
  <c r="L675"/>
  <c r="R675" s="1"/>
  <c r="L229"/>
  <c r="R229" s="1"/>
  <c r="R458"/>
  <c r="F455"/>
  <c r="F223" s="1"/>
  <c r="E242"/>
  <c r="F121"/>
  <c r="L245"/>
  <c r="R245" s="1"/>
  <c r="K965"/>
  <c r="E455"/>
  <c r="E223" s="1"/>
  <c r="L964"/>
  <c r="K242"/>
  <c r="K274"/>
  <c r="K265" s="1"/>
  <c r="K245" s="1"/>
  <c r="F583"/>
  <c r="F579" s="1"/>
  <c r="F570" s="1"/>
  <c r="F580"/>
  <c r="F454" s="1"/>
  <c r="F222" s="1"/>
  <c r="K455"/>
  <c r="K223" s="1"/>
  <c r="L750"/>
  <c r="L455"/>
  <c r="K750"/>
  <c r="K735" s="1"/>
  <c r="K453" s="1"/>
  <c r="K454"/>
  <c r="K134"/>
  <c r="K128" s="1"/>
  <c r="K127" s="1"/>
  <c r="K121" s="1"/>
  <c r="K19"/>
  <c r="K18" s="1"/>
  <c r="K12" s="1"/>
  <c r="L1081"/>
  <c r="L1035" s="1"/>
  <c r="L1091"/>
  <c r="L643"/>
  <c r="R643" s="1"/>
  <c r="L633"/>
  <c r="K235"/>
  <c r="F242"/>
  <c r="F258"/>
  <c r="F745"/>
  <c r="F463" s="1"/>
  <c r="F750"/>
  <c r="F735" s="1"/>
  <c r="E388"/>
  <c r="E383" s="1"/>
  <c r="E245" s="1"/>
  <c r="E246"/>
  <c r="E745"/>
  <c r="E463" s="1"/>
  <c r="E235" s="1"/>
  <c r="E750"/>
  <c r="E735" s="1"/>
  <c r="E453" s="1"/>
  <c r="E454"/>
  <c r="H638"/>
  <c r="L236" l="1"/>
  <c r="R236" s="1"/>
  <c r="L239"/>
  <c r="R239" s="1"/>
  <c r="R466"/>
  <c r="R928"/>
  <c r="L903"/>
  <c r="R903" s="1"/>
  <c r="R904"/>
  <c r="L736"/>
  <c r="R736" s="1"/>
  <c r="L418"/>
  <c r="R418" s="1"/>
  <c r="R426"/>
  <c r="R1047"/>
  <c r="L243"/>
  <c r="R243" s="1"/>
  <c r="L1042"/>
  <c r="R1086"/>
  <c r="L1080"/>
  <c r="R1091"/>
  <c r="R23"/>
  <c r="L132"/>
  <c r="L19"/>
  <c r="R176"/>
  <c r="L172"/>
  <c r="L579"/>
  <c r="R579" s="1"/>
  <c r="R583"/>
  <c r="R571"/>
  <c r="L454"/>
  <c r="R454" s="1"/>
  <c r="R633"/>
  <c r="L223"/>
  <c r="R223" s="1"/>
  <c r="R455"/>
  <c r="L632"/>
  <c r="R632" s="1"/>
  <c r="F453"/>
  <c r="F221" s="1"/>
  <c r="F1136" s="1"/>
  <c r="K222"/>
  <c r="K221"/>
  <c r="K1136" s="1"/>
  <c r="E222"/>
  <c r="F235"/>
  <c r="E221"/>
  <c r="E1136" s="1"/>
  <c r="H697"/>
  <c r="H646"/>
  <c r="L735" l="1"/>
  <c r="R735" s="1"/>
  <c r="L1034"/>
  <c r="R1034" s="1"/>
  <c r="R1080"/>
  <c r="R1042"/>
  <c r="L235"/>
  <c r="R235" s="1"/>
  <c r="R132"/>
  <c r="L128"/>
  <c r="L18"/>
  <c r="R19"/>
  <c r="L171"/>
  <c r="R172"/>
  <c r="L570"/>
  <c r="R570" s="1"/>
  <c r="L222"/>
  <c r="R222" s="1"/>
  <c r="U544"/>
  <c r="U543" s="1"/>
  <c r="T544"/>
  <c r="T543" s="1"/>
  <c r="S544"/>
  <c r="S543" s="1"/>
  <c r="J544"/>
  <c r="J543" s="1"/>
  <c r="I544"/>
  <c r="I543" s="1"/>
  <c r="H544"/>
  <c r="U1133"/>
  <c r="U1132" s="1"/>
  <c r="U1131" s="1"/>
  <c r="T1133"/>
  <c r="T1132" s="1"/>
  <c r="T1131" s="1"/>
  <c r="S1133"/>
  <c r="S1132" s="1"/>
  <c r="S1131" s="1"/>
  <c r="J1133"/>
  <c r="J1132" s="1"/>
  <c r="J1131" s="1"/>
  <c r="I1133"/>
  <c r="I1132" s="1"/>
  <c r="I1131" s="1"/>
  <c r="H1133"/>
  <c r="H1132" s="1"/>
  <c r="H1131" s="1"/>
  <c r="G1133"/>
  <c r="G1132" s="1"/>
  <c r="G1131" s="1"/>
  <c r="D1133"/>
  <c r="D1132" s="1"/>
  <c r="D1131" s="1"/>
  <c r="U1121"/>
  <c r="T1121"/>
  <c r="T1120" s="1"/>
  <c r="T1119" s="1"/>
  <c r="S1121"/>
  <c r="S1120" s="1"/>
  <c r="S1119" s="1"/>
  <c r="J1121"/>
  <c r="J1120" s="1"/>
  <c r="J1119" s="1"/>
  <c r="I1121"/>
  <c r="I1120" s="1"/>
  <c r="I1119" s="1"/>
  <c r="H1121"/>
  <c r="H1120" s="1"/>
  <c r="H1119" s="1"/>
  <c r="G1121"/>
  <c r="G1120" s="1"/>
  <c r="G1119" s="1"/>
  <c r="D1121"/>
  <c r="C1120"/>
  <c r="C1119" s="1"/>
  <c r="U1115"/>
  <c r="T1115"/>
  <c r="S1115"/>
  <c r="J1115"/>
  <c r="I1115"/>
  <c r="H1115"/>
  <c r="H1114" s="1"/>
  <c r="H1113" s="1"/>
  <c r="G1115"/>
  <c r="D1115"/>
  <c r="D1114" s="1"/>
  <c r="D1113" s="1"/>
  <c r="C1114"/>
  <c r="C1113" s="1"/>
  <c r="G1112"/>
  <c r="G1101" s="1"/>
  <c r="G1100" s="1"/>
  <c r="U1101"/>
  <c r="U1100" s="1"/>
  <c r="U1099" s="1"/>
  <c r="T1101"/>
  <c r="T1100" s="1"/>
  <c r="S1101"/>
  <c r="S1100" s="1"/>
  <c r="J1101"/>
  <c r="J1100" s="1"/>
  <c r="I1101"/>
  <c r="I1100" s="1"/>
  <c r="I1099" s="1"/>
  <c r="H1101"/>
  <c r="H1100" s="1"/>
  <c r="H1099" s="1"/>
  <c r="D1100"/>
  <c r="D1089" s="1"/>
  <c r="D1047" s="1"/>
  <c r="G1098"/>
  <c r="G1085" s="1"/>
  <c r="G1041" s="1"/>
  <c r="G227" s="1"/>
  <c r="G1095"/>
  <c r="U1093"/>
  <c r="U1092" s="1"/>
  <c r="T1093"/>
  <c r="T1082" s="1"/>
  <c r="S1093"/>
  <c r="S1082" s="1"/>
  <c r="J1093"/>
  <c r="I1093"/>
  <c r="I1092" s="1"/>
  <c r="H1093"/>
  <c r="H1092" s="1"/>
  <c r="H1081" s="1"/>
  <c r="D1093"/>
  <c r="D1082" s="1"/>
  <c r="U1085"/>
  <c r="U1041" s="1"/>
  <c r="U227" s="1"/>
  <c r="T1085"/>
  <c r="T1041" s="1"/>
  <c r="T227" s="1"/>
  <c r="S1085"/>
  <c r="S1041" s="1"/>
  <c r="S227" s="1"/>
  <c r="J1085"/>
  <c r="J1041" s="1"/>
  <c r="J227" s="1"/>
  <c r="I1085"/>
  <c r="I1041" s="1"/>
  <c r="I227" s="1"/>
  <c r="H1085"/>
  <c r="H1041" s="1"/>
  <c r="H227" s="1"/>
  <c r="D1085"/>
  <c r="D1041" s="1"/>
  <c r="D227" s="1"/>
  <c r="U1084"/>
  <c r="T1084"/>
  <c r="S1084"/>
  <c r="J1084"/>
  <c r="I1084"/>
  <c r="H1084"/>
  <c r="D1084"/>
  <c r="D1081" s="1"/>
  <c r="H1070"/>
  <c r="G1070"/>
  <c r="D1070"/>
  <c r="H1069"/>
  <c r="H1068" s="1"/>
  <c r="H1067" s="1"/>
  <c r="G1069"/>
  <c r="G1068" s="1"/>
  <c r="G1067" s="1"/>
  <c r="D1069"/>
  <c r="D1068" s="1"/>
  <c r="D1067" s="1"/>
  <c r="U1061"/>
  <c r="U1051" s="1"/>
  <c r="T1061"/>
  <c r="T1051" s="1"/>
  <c r="S1061"/>
  <c r="S1060" s="1"/>
  <c r="J1061"/>
  <c r="J1060" s="1"/>
  <c r="I1061"/>
  <c r="I1060" s="1"/>
  <c r="H1061"/>
  <c r="H1060" s="1"/>
  <c r="G1061"/>
  <c r="G1060" s="1"/>
  <c r="G1059" s="1"/>
  <c r="D1061"/>
  <c r="D1060" s="1"/>
  <c r="U1057"/>
  <c r="U1056" s="1"/>
  <c r="T1057"/>
  <c r="T1056" s="1"/>
  <c r="S1057"/>
  <c r="S1056" s="1"/>
  <c r="J1057"/>
  <c r="J1056" s="1"/>
  <c r="I1057"/>
  <c r="I1054" s="1"/>
  <c r="H1057"/>
  <c r="H1054" s="1"/>
  <c r="G1057"/>
  <c r="G1056" s="1"/>
  <c r="D1057"/>
  <c r="U1055"/>
  <c r="U1043" s="1"/>
  <c r="U240" s="1"/>
  <c r="T1055"/>
  <c r="T1043" s="1"/>
  <c r="T240" s="1"/>
  <c r="S1055"/>
  <c r="S1043" s="1"/>
  <c r="S240" s="1"/>
  <c r="J1055"/>
  <c r="J1043" s="1"/>
  <c r="J240" s="1"/>
  <c r="I1055"/>
  <c r="I1043" s="1"/>
  <c r="I240" s="1"/>
  <c r="H1055"/>
  <c r="H1043" s="1"/>
  <c r="G1055"/>
  <c r="G1043" s="1"/>
  <c r="D1055"/>
  <c r="D1043" s="1"/>
  <c r="H1053"/>
  <c r="H1040" s="1"/>
  <c r="G1053"/>
  <c r="G1040" s="1"/>
  <c r="D1053"/>
  <c r="D1040" s="1"/>
  <c r="U1052"/>
  <c r="T1052"/>
  <c r="S1052"/>
  <c r="J1052"/>
  <c r="I1052"/>
  <c r="H1052"/>
  <c r="G1052"/>
  <c r="D1052"/>
  <c r="H1048"/>
  <c r="G1048"/>
  <c r="D1048"/>
  <c r="H1045"/>
  <c r="G1045"/>
  <c r="D1045"/>
  <c r="U1044"/>
  <c r="T1044"/>
  <c r="S1044"/>
  <c r="J1044"/>
  <c r="I1044"/>
  <c r="H1044"/>
  <c r="G1044"/>
  <c r="D1044"/>
  <c r="H1039"/>
  <c r="G1039"/>
  <c r="D1039"/>
  <c r="H1037"/>
  <c r="G1037"/>
  <c r="D1037"/>
  <c r="U1032"/>
  <c r="T1032"/>
  <c r="T1031" s="1"/>
  <c r="S1032"/>
  <c r="S1031" s="1"/>
  <c r="J1032"/>
  <c r="J1031" s="1"/>
  <c r="I1032"/>
  <c r="I1031" s="1"/>
  <c r="I1015" s="1"/>
  <c r="H1032"/>
  <c r="H1016" s="1"/>
  <c r="G1032"/>
  <c r="G1016" s="1"/>
  <c r="D1032"/>
  <c r="D1031" s="1"/>
  <c r="D1015" s="1"/>
  <c r="U1017"/>
  <c r="T1017"/>
  <c r="S1017"/>
  <c r="J1017"/>
  <c r="I1017"/>
  <c r="H1017"/>
  <c r="G1017"/>
  <c r="D1017"/>
  <c r="U1012"/>
  <c r="U1011" s="1"/>
  <c r="T1012"/>
  <c r="T1011" s="1"/>
  <c r="S1012"/>
  <c r="S1011" s="1"/>
  <c r="J1012"/>
  <c r="J1011" s="1"/>
  <c r="I1012"/>
  <c r="I1011" s="1"/>
  <c r="H1012"/>
  <c r="H1011" s="1"/>
  <c r="H1010" s="1"/>
  <c r="G1012"/>
  <c r="G1011" s="1"/>
  <c r="G1010" s="1"/>
  <c r="D1012"/>
  <c r="D1011" s="1"/>
  <c r="D1010" s="1"/>
  <c r="U1008"/>
  <c r="U1004" s="1"/>
  <c r="T1008"/>
  <c r="T1004" s="1"/>
  <c r="S1008"/>
  <c r="S1004" s="1"/>
  <c r="J1008"/>
  <c r="J1004" s="1"/>
  <c r="I1008"/>
  <c r="I1004" s="1"/>
  <c r="H1008"/>
  <c r="H1004" s="1"/>
  <c r="G1008"/>
  <c r="G1004" s="1"/>
  <c r="U1002"/>
  <c r="U1000" s="1"/>
  <c r="T1002"/>
  <c r="T1000" s="1"/>
  <c r="S1002"/>
  <c r="S1001" s="1"/>
  <c r="J1002"/>
  <c r="I1002"/>
  <c r="I1000" s="1"/>
  <c r="H1002"/>
  <c r="H1000" s="1"/>
  <c r="G1002"/>
  <c r="G1001" s="1"/>
  <c r="D1002"/>
  <c r="U996"/>
  <c r="U995" s="1"/>
  <c r="U994" s="1"/>
  <c r="T996"/>
  <c r="T995" s="1"/>
  <c r="T994" s="1"/>
  <c r="S996"/>
  <c r="S995" s="1"/>
  <c r="S994" s="1"/>
  <c r="J996"/>
  <c r="J995" s="1"/>
  <c r="I996"/>
  <c r="I995" s="1"/>
  <c r="I994" s="1"/>
  <c r="H996"/>
  <c r="H995" s="1"/>
  <c r="H994" s="1"/>
  <c r="G996"/>
  <c r="G995" s="1"/>
  <c r="G994" s="1"/>
  <c r="D996"/>
  <c r="U992"/>
  <c r="U991" s="1"/>
  <c r="T992"/>
  <c r="T991" s="1"/>
  <c r="S992"/>
  <c r="S991" s="1"/>
  <c r="J992"/>
  <c r="J991" s="1"/>
  <c r="I992"/>
  <c r="I991" s="1"/>
  <c r="H992"/>
  <c r="H991" s="1"/>
  <c r="G992"/>
  <c r="G991" s="1"/>
  <c r="U989"/>
  <c r="T989"/>
  <c r="S989"/>
  <c r="J989"/>
  <c r="I989"/>
  <c r="H989"/>
  <c r="G989"/>
  <c r="D989"/>
  <c r="U985"/>
  <c r="U976" s="1"/>
  <c r="T985"/>
  <c r="T984" s="1"/>
  <c r="S985"/>
  <c r="S976" s="1"/>
  <c r="J985"/>
  <c r="J984" s="1"/>
  <c r="I985"/>
  <c r="I984" s="1"/>
  <c r="H985"/>
  <c r="H984" s="1"/>
  <c r="G985"/>
  <c r="G976" s="1"/>
  <c r="D985"/>
  <c r="D984" s="1"/>
  <c r="U982"/>
  <c r="U973" s="1"/>
  <c r="T982"/>
  <c r="T973" s="1"/>
  <c r="S982"/>
  <c r="S973" s="1"/>
  <c r="J982"/>
  <c r="J973" s="1"/>
  <c r="I982"/>
  <c r="I973" s="1"/>
  <c r="H982"/>
  <c r="H973" s="1"/>
  <c r="G982"/>
  <c r="G973" s="1"/>
  <c r="D982"/>
  <c r="D973" s="1"/>
  <c r="H981"/>
  <c r="H972" s="1"/>
  <c r="G981"/>
  <c r="G972" s="1"/>
  <c r="D981"/>
  <c r="D972" s="1"/>
  <c r="U978"/>
  <c r="T978"/>
  <c r="S978"/>
  <c r="J978"/>
  <c r="I978"/>
  <c r="H978"/>
  <c r="G978"/>
  <c r="D978"/>
  <c r="U977"/>
  <c r="U967" s="1"/>
  <c r="T977"/>
  <c r="T967" s="1"/>
  <c r="S977"/>
  <c r="S967" s="1"/>
  <c r="J977"/>
  <c r="J967" s="1"/>
  <c r="I977"/>
  <c r="I967" s="1"/>
  <c r="H977"/>
  <c r="H967" s="1"/>
  <c r="G977"/>
  <c r="G967" s="1"/>
  <c r="D977"/>
  <c r="D967" s="1"/>
  <c r="U961"/>
  <c r="U960" s="1"/>
  <c r="U959" s="1"/>
  <c r="T961"/>
  <c r="T960" s="1"/>
  <c r="T959" s="1"/>
  <c r="S961"/>
  <c r="S960" s="1"/>
  <c r="S959" s="1"/>
  <c r="J961"/>
  <c r="J960" s="1"/>
  <c r="J959" s="1"/>
  <c r="I961"/>
  <c r="I960" s="1"/>
  <c r="I959" s="1"/>
  <c r="H961"/>
  <c r="H960" s="1"/>
  <c r="H959" s="1"/>
  <c r="G961"/>
  <c r="G960" s="1"/>
  <c r="G959" s="1"/>
  <c r="G958"/>
  <c r="G957" s="1"/>
  <c r="G956" s="1"/>
  <c r="G955" s="1"/>
  <c r="U957"/>
  <c r="U956" s="1"/>
  <c r="U955" s="1"/>
  <c r="T957"/>
  <c r="T956" s="1"/>
  <c r="T955" s="1"/>
  <c r="S957"/>
  <c r="S956" s="1"/>
  <c r="S955" s="1"/>
  <c r="J957"/>
  <c r="J956" s="1"/>
  <c r="J955" s="1"/>
  <c r="I957"/>
  <c r="I956" s="1"/>
  <c r="I955" s="1"/>
  <c r="H957"/>
  <c r="H956" s="1"/>
  <c r="H955" s="1"/>
  <c r="D957"/>
  <c r="D956" s="1"/>
  <c r="D955" s="1"/>
  <c r="D953"/>
  <c r="U950"/>
  <c r="U949" s="1"/>
  <c r="U948" s="1"/>
  <c r="U947" s="1"/>
  <c r="T950"/>
  <c r="T949" s="1"/>
  <c r="T948" s="1"/>
  <c r="T947" s="1"/>
  <c r="S950"/>
  <c r="S949" s="1"/>
  <c r="S948" s="1"/>
  <c r="S947" s="1"/>
  <c r="J950"/>
  <c r="J949" s="1"/>
  <c r="J948" s="1"/>
  <c r="J947" s="1"/>
  <c r="I950"/>
  <c r="I949" s="1"/>
  <c r="I948" s="1"/>
  <c r="I947" s="1"/>
  <c r="H950"/>
  <c r="H949" s="1"/>
  <c r="H948" s="1"/>
  <c r="G950"/>
  <c r="G949" s="1"/>
  <c r="G948" s="1"/>
  <c r="D950"/>
  <c r="D949" s="1"/>
  <c r="D948" s="1"/>
  <c r="D945"/>
  <c r="U941"/>
  <c r="U940" s="1"/>
  <c r="U939" s="1"/>
  <c r="U938" s="1"/>
  <c r="T941"/>
  <c r="T940" s="1"/>
  <c r="T939" s="1"/>
  <c r="T938" s="1"/>
  <c r="S941"/>
  <c r="S940" s="1"/>
  <c r="S939" s="1"/>
  <c r="S938" s="1"/>
  <c r="J941"/>
  <c r="J940" s="1"/>
  <c r="J939" s="1"/>
  <c r="J938" s="1"/>
  <c r="I941"/>
  <c r="I940" s="1"/>
  <c r="I939" s="1"/>
  <c r="I938" s="1"/>
  <c r="H941"/>
  <c r="H940" s="1"/>
  <c r="H939" s="1"/>
  <c r="G941"/>
  <c r="G940" s="1"/>
  <c r="G939" s="1"/>
  <c r="D941"/>
  <c r="D940" s="1"/>
  <c r="D939" s="1"/>
  <c r="D936"/>
  <c r="U931"/>
  <c r="U930" s="1"/>
  <c r="U929" s="1"/>
  <c r="U928" s="1"/>
  <c r="T931"/>
  <c r="T930" s="1"/>
  <c r="T929" s="1"/>
  <c r="T928" s="1"/>
  <c r="S931"/>
  <c r="S930" s="1"/>
  <c r="S929" s="1"/>
  <c r="S928" s="1"/>
  <c r="J931"/>
  <c r="J930" s="1"/>
  <c r="J929" s="1"/>
  <c r="J928" s="1"/>
  <c r="I931"/>
  <c r="I930" s="1"/>
  <c r="I929" s="1"/>
  <c r="I928" s="1"/>
  <c r="H931"/>
  <c r="H930" s="1"/>
  <c r="H929" s="1"/>
  <c r="G931"/>
  <c r="G930" s="1"/>
  <c r="G929" s="1"/>
  <c r="U926"/>
  <c r="T926"/>
  <c r="S926"/>
  <c r="J926"/>
  <c r="I926"/>
  <c r="H926"/>
  <c r="G926"/>
  <c r="D926"/>
  <c r="G924"/>
  <c r="G923"/>
  <c r="U922"/>
  <c r="U921" s="1"/>
  <c r="U920" s="1"/>
  <c r="T922"/>
  <c r="T921" s="1"/>
  <c r="T920" s="1"/>
  <c r="S922"/>
  <c r="S921" s="1"/>
  <c r="S920" s="1"/>
  <c r="J922"/>
  <c r="J921" s="1"/>
  <c r="J920" s="1"/>
  <c r="I922"/>
  <c r="I921" s="1"/>
  <c r="I920" s="1"/>
  <c r="H922"/>
  <c r="H921" s="1"/>
  <c r="H920" s="1"/>
  <c r="D922"/>
  <c r="D921" s="1"/>
  <c r="D920" s="1"/>
  <c r="U917"/>
  <c r="T917"/>
  <c r="S917"/>
  <c r="J917"/>
  <c r="I917"/>
  <c r="H917"/>
  <c r="G917"/>
  <c r="D917"/>
  <c r="U913"/>
  <c r="U912" s="1"/>
  <c r="T913"/>
  <c r="T912" s="1"/>
  <c r="S913"/>
  <c r="J913"/>
  <c r="J912" s="1"/>
  <c r="I913"/>
  <c r="I912" s="1"/>
  <c r="I911" s="1"/>
  <c r="H913"/>
  <c r="H912" s="1"/>
  <c r="G913"/>
  <c r="D913"/>
  <c r="D912" s="1"/>
  <c r="D911" s="1"/>
  <c r="U909"/>
  <c r="U746" s="1"/>
  <c r="T909"/>
  <c r="T746" s="1"/>
  <c r="S909"/>
  <c r="S746" s="1"/>
  <c r="J909"/>
  <c r="J746" s="1"/>
  <c r="I909"/>
  <c r="I746" s="1"/>
  <c r="U907"/>
  <c r="U744" s="1"/>
  <c r="T907"/>
  <c r="T744" s="1"/>
  <c r="S907"/>
  <c r="S744" s="1"/>
  <c r="J907"/>
  <c r="J744" s="1"/>
  <c r="I907"/>
  <c r="I744" s="1"/>
  <c r="H907"/>
  <c r="H744" s="1"/>
  <c r="G907"/>
  <c r="G744" s="1"/>
  <c r="D907"/>
  <c r="D744" s="1"/>
  <c r="H901"/>
  <c r="G901"/>
  <c r="D901"/>
  <c r="U898"/>
  <c r="U897" s="1"/>
  <c r="U896" s="1"/>
  <c r="T898"/>
  <c r="T897" s="1"/>
  <c r="T896" s="1"/>
  <c r="S898"/>
  <c r="S897" s="1"/>
  <c r="S896" s="1"/>
  <c r="J898"/>
  <c r="J897" s="1"/>
  <c r="J896" s="1"/>
  <c r="I898"/>
  <c r="I897" s="1"/>
  <c r="I896" s="1"/>
  <c r="H898"/>
  <c r="H897" s="1"/>
  <c r="G898"/>
  <c r="G897" s="1"/>
  <c r="D898"/>
  <c r="D897" s="1"/>
  <c r="D894"/>
  <c r="U891"/>
  <c r="U890" s="1"/>
  <c r="U889" s="1"/>
  <c r="T891"/>
  <c r="T890" s="1"/>
  <c r="T889" s="1"/>
  <c r="S891"/>
  <c r="S890" s="1"/>
  <c r="S889" s="1"/>
  <c r="J891"/>
  <c r="J890" s="1"/>
  <c r="J889" s="1"/>
  <c r="I891"/>
  <c r="I890" s="1"/>
  <c r="I889" s="1"/>
  <c r="H891"/>
  <c r="H890" s="1"/>
  <c r="G891"/>
  <c r="G890" s="1"/>
  <c r="D891"/>
  <c r="D890" s="1"/>
  <c r="D882"/>
  <c r="U879"/>
  <c r="U878" s="1"/>
  <c r="U877" s="1"/>
  <c r="T879"/>
  <c r="T878" s="1"/>
  <c r="T877" s="1"/>
  <c r="S879"/>
  <c r="S878" s="1"/>
  <c r="S877" s="1"/>
  <c r="J879"/>
  <c r="J878" s="1"/>
  <c r="J877" s="1"/>
  <c r="I879"/>
  <c r="I878" s="1"/>
  <c r="I877" s="1"/>
  <c r="H879"/>
  <c r="H878" s="1"/>
  <c r="G879"/>
  <c r="G878" s="1"/>
  <c r="D879"/>
  <c r="D878" s="1"/>
  <c r="U875"/>
  <c r="T875"/>
  <c r="S875"/>
  <c r="J875"/>
  <c r="I875"/>
  <c r="H875"/>
  <c r="G875"/>
  <c r="D875"/>
  <c r="U872"/>
  <c r="U871" s="1"/>
  <c r="T872"/>
  <c r="T871" s="1"/>
  <c r="S872"/>
  <c r="S871" s="1"/>
  <c r="J872"/>
  <c r="J871" s="1"/>
  <c r="I872"/>
  <c r="I871" s="1"/>
  <c r="H872"/>
  <c r="H871" s="1"/>
  <c r="G872"/>
  <c r="G871" s="1"/>
  <c r="D872"/>
  <c r="D871" s="1"/>
  <c r="D868"/>
  <c r="U865"/>
  <c r="U864" s="1"/>
  <c r="U863" s="1"/>
  <c r="T865"/>
  <c r="T864" s="1"/>
  <c r="T863" s="1"/>
  <c r="S865"/>
  <c r="S864" s="1"/>
  <c r="S863" s="1"/>
  <c r="J865"/>
  <c r="J864" s="1"/>
  <c r="J863" s="1"/>
  <c r="I865"/>
  <c r="I864" s="1"/>
  <c r="I863" s="1"/>
  <c r="H865"/>
  <c r="H864" s="1"/>
  <c r="G865"/>
  <c r="G864" s="1"/>
  <c r="D865"/>
  <c r="D864" s="1"/>
  <c r="H861"/>
  <c r="G861"/>
  <c r="D861"/>
  <c r="U857"/>
  <c r="U856" s="1"/>
  <c r="U855" s="1"/>
  <c r="T857"/>
  <c r="T856" s="1"/>
  <c r="T855" s="1"/>
  <c r="S857"/>
  <c r="S856" s="1"/>
  <c r="S855" s="1"/>
  <c r="J857"/>
  <c r="J856" s="1"/>
  <c r="J855" s="1"/>
  <c r="I857"/>
  <c r="I856" s="1"/>
  <c r="I855" s="1"/>
  <c r="H857"/>
  <c r="H856" s="1"/>
  <c r="G857"/>
  <c r="G856" s="1"/>
  <c r="D857"/>
  <c r="D856" s="1"/>
  <c r="U853"/>
  <c r="T853"/>
  <c r="S853"/>
  <c r="J853"/>
  <c r="I853"/>
  <c r="H853"/>
  <c r="G853"/>
  <c r="D853"/>
  <c r="U850"/>
  <c r="U849" s="1"/>
  <c r="T850"/>
  <c r="T849" s="1"/>
  <c r="S850"/>
  <c r="S849" s="1"/>
  <c r="J850"/>
  <c r="I850"/>
  <c r="I849" s="1"/>
  <c r="H850"/>
  <c r="G850"/>
  <c r="G849" s="1"/>
  <c r="D850"/>
  <c r="D849" s="1"/>
  <c r="H846"/>
  <c r="G846"/>
  <c r="D846"/>
  <c r="U843"/>
  <c r="U842" s="1"/>
  <c r="T843"/>
  <c r="S843"/>
  <c r="J843"/>
  <c r="J842" s="1"/>
  <c r="J841" s="1"/>
  <c r="I843"/>
  <c r="I842" s="1"/>
  <c r="H843"/>
  <c r="H842" s="1"/>
  <c r="G843"/>
  <c r="G842" s="1"/>
  <c r="D843"/>
  <c r="D842" s="1"/>
  <c r="U840"/>
  <c r="U749" s="1"/>
  <c r="T840"/>
  <c r="T749" s="1"/>
  <c r="S840"/>
  <c r="S749" s="1"/>
  <c r="J840"/>
  <c r="J749" s="1"/>
  <c r="I840"/>
  <c r="I749" s="1"/>
  <c r="H840"/>
  <c r="H749" s="1"/>
  <c r="G840"/>
  <c r="G749" s="1"/>
  <c r="D840"/>
  <c r="D749" s="1"/>
  <c r="U837"/>
  <c r="U739" s="1"/>
  <c r="T837"/>
  <c r="T739" s="1"/>
  <c r="S837"/>
  <c r="S739" s="1"/>
  <c r="J837"/>
  <c r="J739" s="1"/>
  <c r="I837"/>
  <c r="I739" s="1"/>
  <c r="H837"/>
  <c r="H739" s="1"/>
  <c r="G837"/>
  <c r="G739" s="1"/>
  <c r="D837"/>
  <c r="D739" s="1"/>
  <c r="U836"/>
  <c r="U738" s="1"/>
  <c r="T836"/>
  <c r="T738" s="1"/>
  <c r="S836"/>
  <c r="S738" s="1"/>
  <c r="J836"/>
  <c r="J738" s="1"/>
  <c r="I836"/>
  <c r="I738" s="1"/>
  <c r="H836"/>
  <c r="H738" s="1"/>
  <c r="G836"/>
  <c r="D836"/>
  <c r="D738" s="1"/>
  <c r="U829"/>
  <c r="U828" s="1"/>
  <c r="U827" s="1"/>
  <c r="T829"/>
  <c r="T828" s="1"/>
  <c r="T827" s="1"/>
  <c r="S829"/>
  <c r="S828" s="1"/>
  <c r="S827" s="1"/>
  <c r="J829"/>
  <c r="J828" s="1"/>
  <c r="J827" s="1"/>
  <c r="I829"/>
  <c r="I828" s="1"/>
  <c r="I827" s="1"/>
  <c r="H829"/>
  <c r="H828" s="1"/>
  <c r="H827" s="1"/>
  <c r="G829"/>
  <c r="G828" s="1"/>
  <c r="G827" s="1"/>
  <c r="U823"/>
  <c r="U822" s="1"/>
  <c r="T823"/>
  <c r="T822" s="1"/>
  <c r="S823"/>
  <c r="S821" s="1"/>
  <c r="J823"/>
  <c r="J821" s="1"/>
  <c r="I823"/>
  <c r="I821" s="1"/>
  <c r="H823"/>
  <c r="H822" s="1"/>
  <c r="G823"/>
  <c r="G822" s="1"/>
  <c r="U817"/>
  <c r="U816" s="1"/>
  <c r="T817"/>
  <c r="T816" s="1"/>
  <c r="S817"/>
  <c r="S815" s="1"/>
  <c r="J817"/>
  <c r="J815" s="1"/>
  <c r="I817"/>
  <c r="I815" s="1"/>
  <c r="H817"/>
  <c r="H816" s="1"/>
  <c r="G817"/>
  <c r="G815" s="1"/>
  <c r="U811"/>
  <c r="U810" s="1"/>
  <c r="U809" s="1"/>
  <c r="T811"/>
  <c r="T810" s="1"/>
  <c r="T809" s="1"/>
  <c r="S811"/>
  <c r="S810" s="1"/>
  <c r="S809" s="1"/>
  <c r="J811"/>
  <c r="J810" s="1"/>
  <c r="J809" s="1"/>
  <c r="I811"/>
  <c r="I810" s="1"/>
  <c r="I809" s="1"/>
  <c r="H811"/>
  <c r="H810" s="1"/>
  <c r="H809" s="1"/>
  <c r="G811"/>
  <c r="G810" s="1"/>
  <c r="G809" s="1"/>
  <c r="D811"/>
  <c r="D810" s="1"/>
  <c r="D809" s="1"/>
  <c r="U805"/>
  <c r="U804" s="1"/>
  <c r="T805"/>
  <c r="T804" s="1"/>
  <c r="S805"/>
  <c r="S804" s="1"/>
  <c r="J805"/>
  <c r="J804" s="1"/>
  <c r="I805"/>
  <c r="I804" s="1"/>
  <c r="H805"/>
  <c r="H804" s="1"/>
  <c r="G805"/>
  <c r="G804" s="1"/>
  <c r="D805"/>
  <c r="D804" s="1"/>
  <c r="U800"/>
  <c r="U799" s="1"/>
  <c r="T800"/>
  <c r="T799" s="1"/>
  <c r="S800"/>
  <c r="S799" s="1"/>
  <c r="J800"/>
  <c r="J799" s="1"/>
  <c r="I800"/>
  <c r="I799" s="1"/>
  <c r="H800"/>
  <c r="H799" s="1"/>
  <c r="G800"/>
  <c r="G799" s="1"/>
  <c r="D800"/>
  <c r="D799" s="1"/>
  <c r="U795"/>
  <c r="U794" s="1"/>
  <c r="T795"/>
  <c r="T794" s="1"/>
  <c r="S795"/>
  <c r="S794" s="1"/>
  <c r="J795"/>
  <c r="J794" s="1"/>
  <c r="I795"/>
  <c r="I794" s="1"/>
  <c r="H795"/>
  <c r="H794" s="1"/>
  <c r="G795"/>
  <c r="G794" s="1"/>
  <c r="D795"/>
  <c r="D794" s="1"/>
  <c r="U790"/>
  <c r="U789" s="1"/>
  <c r="T790"/>
  <c r="T789" s="1"/>
  <c r="S790"/>
  <c r="S789" s="1"/>
  <c r="J790"/>
  <c r="J789" s="1"/>
  <c r="I790"/>
  <c r="I789" s="1"/>
  <c r="H790"/>
  <c r="H789" s="1"/>
  <c r="G790"/>
  <c r="G789" s="1"/>
  <c r="D790"/>
  <c r="D789" s="1"/>
  <c r="U785"/>
  <c r="U784" s="1"/>
  <c r="U783" s="1"/>
  <c r="T785"/>
  <c r="T784" s="1"/>
  <c r="T783" s="1"/>
  <c r="S785"/>
  <c r="S784" s="1"/>
  <c r="S783" s="1"/>
  <c r="J785"/>
  <c r="J784" s="1"/>
  <c r="J783" s="1"/>
  <c r="I785"/>
  <c r="I784" s="1"/>
  <c r="I783" s="1"/>
  <c r="H785"/>
  <c r="H784" s="1"/>
  <c r="H783" s="1"/>
  <c r="G785"/>
  <c r="G784" s="1"/>
  <c r="G783" s="1"/>
  <c r="D785"/>
  <c r="D784" s="1"/>
  <c r="D783" s="1"/>
  <c r="U779"/>
  <c r="U778" s="1"/>
  <c r="U777" s="1"/>
  <c r="T779"/>
  <c r="T778" s="1"/>
  <c r="T777" s="1"/>
  <c r="S779"/>
  <c r="S778" s="1"/>
  <c r="S777" s="1"/>
  <c r="J779"/>
  <c r="J778" s="1"/>
  <c r="J777" s="1"/>
  <c r="I779"/>
  <c r="I778" s="1"/>
  <c r="I777" s="1"/>
  <c r="H779"/>
  <c r="H778" s="1"/>
  <c r="H777" s="1"/>
  <c r="G779"/>
  <c r="G778" s="1"/>
  <c r="G777" s="1"/>
  <c r="D779"/>
  <c r="D778" s="1"/>
  <c r="D777" s="1"/>
  <c r="U762"/>
  <c r="U760" s="1"/>
  <c r="U84" s="1"/>
  <c r="U176" s="1"/>
  <c r="T762"/>
  <c r="T760" s="1"/>
  <c r="T84" s="1"/>
  <c r="T176" s="1"/>
  <c r="S762"/>
  <c r="S760" s="1"/>
  <c r="S84" s="1"/>
  <c r="J762"/>
  <c r="J760" s="1"/>
  <c r="J84" s="1"/>
  <c r="I762"/>
  <c r="I760" s="1"/>
  <c r="I84" s="1"/>
  <c r="I176" s="1"/>
  <c r="H762"/>
  <c r="H760" s="1"/>
  <c r="H84" s="1"/>
  <c r="H176" s="1"/>
  <c r="G762"/>
  <c r="G760" s="1"/>
  <c r="G84" s="1"/>
  <c r="G176" s="1"/>
  <c r="D762"/>
  <c r="D760" s="1"/>
  <c r="U755"/>
  <c r="T755"/>
  <c r="S755"/>
  <c r="J755"/>
  <c r="J752" s="1"/>
  <c r="I755"/>
  <c r="H755"/>
  <c r="H752" s="1"/>
  <c r="H751" s="1"/>
  <c r="G755"/>
  <c r="D755"/>
  <c r="D752" s="1"/>
  <c r="G753"/>
  <c r="U743"/>
  <c r="T743"/>
  <c r="S743"/>
  <c r="J743"/>
  <c r="I743"/>
  <c r="H743"/>
  <c r="G743"/>
  <c r="D743"/>
  <c r="U741"/>
  <c r="U459" s="1"/>
  <c r="T741"/>
  <c r="T459" s="1"/>
  <c r="S741"/>
  <c r="S459" s="1"/>
  <c r="J741"/>
  <c r="J459" s="1"/>
  <c r="I741"/>
  <c r="I459" s="1"/>
  <c r="H741"/>
  <c r="H459" s="1"/>
  <c r="G741"/>
  <c r="G459" s="1"/>
  <c r="U733"/>
  <c r="T733"/>
  <c r="S733"/>
  <c r="J733"/>
  <c r="I733"/>
  <c r="H733"/>
  <c r="G733"/>
  <c r="U732"/>
  <c r="U731" s="1"/>
  <c r="T732"/>
  <c r="T731" s="1"/>
  <c r="S732"/>
  <c r="S731" s="1"/>
  <c r="J732"/>
  <c r="J731" s="1"/>
  <c r="I732"/>
  <c r="I731" s="1"/>
  <c r="H732"/>
  <c r="H731" s="1"/>
  <c r="G732"/>
  <c r="G731" s="1"/>
  <c r="D732"/>
  <c r="D731" s="1"/>
  <c r="U728"/>
  <c r="T728"/>
  <c r="S728"/>
  <c r="J728"/>
  <c r="I728"/>
  <c r="H728"/>
  <c r="G728"/>
  <c r="D728"/>
  <c r="U727"/>
  <c r="U726" s="1"/>
  <c r="T727"/>
  <c r="T726" s="1"/>
  <c r="S727"/>
  <c r="S726" s="1"/>
  <c r="J727"/>
  <c r="J726" s="1"/>
  <c r="I727"/>
  <c r="I726" s="1"/>
  <c r="H727"/>
  <c r="H726" s="1"/>
  <c r="G727"/>
  <c r="G726" s="1"/>
  <c r="D727"/>
  <c r="D726" s="1"/>
  <c r="D723"/>
  <c r="U719"/>
  <c r="U718" s="1"/>
  <c r="U717" s="1"/>
  <c r="U716" s="1"/>
  <c r="T719"/>
  <c r="T718" s="1"/>
  <c r="T717" s="1"/>
  <c r="T716" s="1"/>
  <c r="S719"/>
  <c r="S718" s="1"/>
  <c r="S717" s="1"/>
  <c r="S716" s="1"/>
  <c r="J719"/>
  <c r="J718" s="1"/>
  <c r="J717" s="1"/>
  <c r="J716" s="1"/>
  <c r="I719"/>
  <c r="I718" s="1"/>
  <c r="I717" s="1"/>
  <c r="I716" s="1"/>
  <c r="H719"/>
  <c r="H718" s="1"/>
  <c r="H717" s="1"/>
  <c r="G719"/>
  <c r="G718" s="1"/>
  <c r="G717" s="1"/>
  <c r="D719"/>
  <c r="D718" s="1"/>
  <c r="D717" s="1"/>
  <c r="G714"/>
  <c r="G713" s="1"/>
  <c r="G712" s="1"/>
  <c r="G711" s="1"/>
  <c r="U713"/>
  <c r="U712" s="1"/>
  <c r="U711" s="1"/>
  <c r="T713"/>
  <c r="T712" s="1"/>
  <c r="T711" s="1"/>
  <c r="S713"/>
  <c r="S712" s="1"/>
  <c r="S711" s="1"/>
  <c r="J713"/>
  <c r="J712" s="1"/>
  <c r="J711" s="1"/>
  <c r="I713"/>
  <c r="I712" s="1"/>
  <c r="I711" s="1"/>
  <c r="H713"/>
  <c r="H712" s="1"/>
  <c r="H711" s="1"/>
  <c r="D713"/>
  <c r="G710"/>
  <c r="G709" s="1"/>
  <c r="U709"/>
  <c r="T709"/>
  <c r="S709"/>
  <c r="J709"/>
  <c r="I709"/>
  <c r="H709"/>
  <c r="D709"/>
  <c r="U706"/>
  <c r="U705" s="1"/>
  <c r="U704" s="1"/>
  <c r="T706"/>
  <c r="T705" s="1"/>
  <c r="T704" s="1"/>
  <c r="S706"/>
  <c r="S705" s="1"/>
  <c r="S704" s="1"/>
  <c r="J706"/>
  <c r="J705" s="1"/>
  <c r="J704" s="1"/>
  <c r="I706"/>
  <c r="I705" s="1"/>
  <c r="I704" s="1"/>
  <c r="H706"/>
  <c r="H705" s="1"/>
  <c r="H704" s="1"/>
  <c r="G706"/>
  <c r="G705" s="1"/>
  <c r="G704" s="1"/>
  <c r="D706"/>
  <c r="D705" s="1"/>
  <c r="D704" s="1"/>
  <c r="U701"/>
  <c r="T701"/>
  <c r="S701"/>
  <c r="J701"/>
  <c r="I701"/>
  <c r="H701"/>
  <c r="G701"/>
  <c r="D701"/>
  <c r="U697"/>
  <c r="U696" s="1"/>
  <c r="U695" s="1"/>
  <c r="T697"/>
  <c r="T696" s="1"/>
  <c r="T695" s="1"/>
  <c r="S697"/>
  <c r="S696" s="1"/>
  <c r="S695" s="1"/>
  <c r="J697"/>
  <c r="J696" s="1"/>
  <c r="J695" s="1"/>
  <c r="I697"/>
  <c r="I696" s="1"/>
  <c r="I695" s="1"/>
  <c r="H696"/>
  <c r="H695" s="1"/>
  <c r="G697"/>
  <c r="G696" s="1"/>
  <c r="G695" s="1"/>
  <c r="D697"/>
  <c r="D696" s="1"/>
  <c r="D695" s="1"/>
  <c r="U692"/>
  <c r="T692"/>
  <c r="S692"/>
  <c r="J692"/>
  <c r="I692"/>
  <c r="H692"/>
  <c r="G692"/>
  <c r="D692"/>
  <c r="U688"/>
  <c r="U687" s="1"/>
  <c r="U686" s="1"/>
  <c r="T688"/>
  <c r="T687" s="1"/>
  <c r="T686" s="1"/>
  <c r="S688"/>
  <c r="S687" s="1"/>
  <c r="S686" s="1"/>
  <c r="J688"/>
  <c r="J687" s="1"/>
  <c r="J686" s="1"/>
  <c r="I688"/>
  <c r="I687" s="1"/>
  <c r="I686" s="1"/>
  <c r="H688"/>
  <c r="H687" s="1"/>
  <c r="H686" s="1"/>
  <c r="G688"/>
  <c r="G687" s="1"/>
  <c r="G686" s="1"/>
  <c r="D688"/>
  <c r="D687" s="1"/>
  <c r="D686" s="1"/>
  <c r="U682"/>
  <c r="T682"/>
  <c r="S682"/>
  <c r="J682"/>
  <c r="I682"/>
  <c r="H682"/>
  <c r="G682"/>
  <c r="D682"/>
  <c r="U678"/>
  <c r="U677" s="1"/>
  <c r="U676" s="1"/>
  <c r="T678"/>
  <c r="T677" s="1"/>
  <c r="T676" s="1"/>
  <c r="S678"/>
  <c r="S677" s="1"/>
  <c r="S676" s="1"/>
  <c r="J678"/>
  <c r="J677" s="1"/>
  <c r="J676" s="1"/>
  <c r="I678"/>
  <c r="I677" s="1"/>
  <c r="I676" s="1"/>
  <c r="H678"/>
  <c r="H677" s="1"/>
  <c r="H676" s="1"/>
  <c r="G678"/>
  <c r="G677" s="1"/>
  <c r="G676" s="1"/>
  <c r="D678"/>
  <c r="D677" s="1"/>
  <c r="D676" s="1"/>
  <c r="U671"/>
  <c r="U642" s="1"/>
  <c r="U468" s="1"/>
  <c r="U241" s="1"/>
  <c r="T671"/>
  <c r="T642" s="1"/>
  <c r="T468" s="1"/>
  <c r="T241" s="1"/>
  <c r="S671"/>
  <c r="J671"/>
  <c r="J642" s="1"/>
  <c r="J468" s="1"/>
  <c r="J241" s="1"/>
  <c r="I671"/>
  <c r="I670" s="1"/>
  <c r="H671"/>
  <c r="H670" s="1"/>
  <c r="H669" s="1"/>
  <c r="G671"/>
  <c r="G670" s="1"/>
  <c r="G669" s="1"/>
  <c r="D671"/>
  <c r="D670" s="1"/>
  <c r="D669" s="1"/>
  <c r="H665"/>
  <c r="H664" s="1"/>
  <c r="H663" s="1"/>
  <c r="G665"/>
  <c r="G664" s="1"/>
  <c r="G663" s="1"/>
  <c r="D665"/>
  <c r="G662"/>
  <c r="G661" s="1"/>
  <c r="U661"/>
  <c r="T661"/>
  <c r="S661"/>
  <c r="J661"/>
  <c r="I661"/>
  <c r="H661"/>
  <c r="D661"/>
  <c r="U657"/>
  <c r="U656" s="1"/>
  <c r="U655" s="1"/>
  <c r="T657"/>
  <c r="T656" s="1"/>
  <c r="T655" s="1"/>
  <c r="S657"/>
  <c r="S656" s="1"/>
  <c r="S655" s="1"/>
  <c r="J657"/>
  <c r="J656" s="1"/>
  <c r="J655" s="1"/>
  <c r="I657"/>
  <c r="I656" s="1"/>
  <c r="I655" s="1"/>
  <c r="H657"/>
  <c r="H656" s="1"/>
  <c r="H655" s="1"/>
  <c r="G657"/>
  <c r="G656" s="1"/>
  <c r="G655" s="1"/>
  <c r="D657"/>
  <c r="D656" s="1"/>
  <c r="D655" s="1"/>
  <c r="D653"/>
  <c r="D651" s="1"/>
  <c r="U651"/>
  <c r="T651"/>
  <c r="S651"/>
  <c r="J651"/>
  <c r="I651"/>
  <c r="H651"/>
  <c r="G651"/>
  <c r="U646"/>
  <c r="U645" s="1"/>
  <c r="U644" s="1"/>
  <c r="T646"/>
  <c r="T645" s="1"/>
  <c r="T644" s="1"/>
  <c r="S646"/>
  <c r="S645" s="1"/>
  <c r="S644" s="1"/>
  <c r="J646"/>
  <c r="I646"/>
  <c r="H645"/>
  <c r="H644" s="1"/>
  <c r="G646"/>
  <c r="G645" s="1"/>
  <c r="U641"/>
  <c r="T641"/>
  <c r="S641"/>
  <c r="J641"/>
  <c r="I641"/>
  <c r="H641"/>
  <c r="G641"/>
  <c r="D641"/>
  <c r="U640"/>
  <c r="T640"/>
  <c r="S640"/>
  <c r="J640"/>
  <c r="I640"/>
  <c r="H640"/>
  <c r="U638"/>
  <c r="T638"/>
  <c r="S638"/>
  <c r="J638"/>
  <c r="I638"/>
  <c r="G638"/>
  <c r="D638"/>
  <c r="U637"/>
  <c r="T637"/>
  <c r="S637"/>
  <c r="J637"/>
  <c r="I637"/>
  <c r="H637"/>
  <c r="D637"/>
  <c r="U635"/>
  <c r="T635"/>
  <c r="S635"/>
  <c r="J635"/>
  <c r="I635"/>
  <c r="H635"/>
  <c r="G635"/>
  <c r="D635"/>
  <c r="U630"/>
  <c r="U629" s="1"/>
  <c r="T630"/>
  <c r="T629" s="1"/>
  <c r="S630"/>
  <c r="S629" s="1"/>
  <c r="J630"/>
  <c r="J629" s="1"/>
  <c r="I630"/>
  <c r="I629" s="1"/>
  <c r="H630"/>
  <c r="H629" s="1"/>
  <c r="G630"/>
  <c r="G629" s="1"/>
  <c r="D630"/>
  <c r="D629" s="1"/>
  <c r="U627"/>
  <c r="U626" s="1"/>
  <c r="T627"/>
  <c r="T626" s="1"/>
  <c r="S627"/>
  <c r="S626" s="1"/>
  <c r="J627"/>
  <c r="J626" s="1"/>
  <c r="I627"/>
  <c r="I626" s="1"/>
  <c r="H627"/>
  <c r="H626" s="1"/>
  <c r="G627"/>
  <c r="G626" s="1"/>
  <c r="D627"/>
  <c r="D626" s="1"/>
  <c r="U624"/>
  <c r="U623" s="1"/>
  <c r="T624"/>
  <c r="T623" s="1"/>
  <c r="S624"/>
  <c r="S623" s="1"/>
  <c r="J624"/>
  <c r="J623" s="1"/>
  <c r="I624"/>
  <c r="I623" s="1"/>
  <c r="H624"/>
  <c r="H623" s="1"/>
  <c r="G624"/>
  <c r="G623" s="1"/>
  <c r="D624"/>
  <c r="D623" s="1"/>
  <c r="U621"/>
  <c r="U620" s="1"/>
  <c r="T621"/>
  <c r="T620" s="1"/>
  <c r="S621"/>
  <c r="S620" s="1"/>
  <c r="J621"/>
  <c r="J620" s="1"/>
  <c r="I621"/>
  <c r="I620" s="1"/>
  <c r="H621"/>
  <c r="H620" s="1"/>
  <c r="G621"/>
  <c r="G620" s="1"/>
  <c r="D620"/>
  <c r="U618"/>
  <c r="U617" s="1"/>
  <c r="T618"/>
  <c r="T617" s="1"/>
  <c r="S618"/>
  <c r="S617" s="1"/>
  <c r="J618"/>
  <c r="J617" s="1"/>
  <c r="I618"/>
  <c r="I617" s="1"/>
  <c r="H618"/>
  <c r="H617" s="1"/>
  <c r="G618"/>
  <c r="G617" s="1"/>
  <c r="D618"/>
  <c r="D617" s="1"/>
  <c r="U615"/>
  <c r="U614" s="1"/>
  <c r="T615"/>
  <c r="T614" s="1"/>
  <c r="S615"/>
  <c r="S614" s="1"/>
  <c r="J615"/>
  <c r="J614" s="1"/>
  <c r="I615"/>
  <c r="I614" s="1"/>
  <c r="H615"/>
  <c r="H614" s="1"/>
  <c r="G615"/>
  <c r="G614" s="1"/>
  <c r="D615"/>
  <c r="D614" s="1"/>
  <c r="U610"/>
  <c r="U609" s="1"/>
  <c r="U608" s="1"/>
  <c r="U607" s="1"/>
  <c r="T610"/>
  <c r="T609" s="1"/>
  <c r="T608" s="1"/>
  <c r="T607" s="1"/>
  <c r="S610"/>
  <c r="S609" s="1"/>
  <c r="S608" s="1"/>
  <c r="S607" s="1"/>
  <c r="J610"/>
  <c r="J609" s="1"/>
  <c r="J608" s="1"/>
  <c r="J607" s="1"/>
  <c r="I610"/>
  <c r="I609" s="1"/>
  <c r="I608" s="1"/>
  <c r="I607" s="1"/>
  <c r="H610"/>
  <c r="H609" s="1"/>
  <c r="H608" s="1"/>
  <c r="H607" s="1"/>
  <c r="G610"/>
  <c r="G609" s="1"/>
  <c r="G608" s="1"/>
  <c r="G607" s="1"/>
  <c r="D610"/>
  <c r="D609" s="1"/>
  <c r="D608" s="1"/>
  <c r="D607" s="1"/>
  <c r="U604"/>
  <c r="U603" s="1"/>
  <c r="U602" s="1"/>
  <c r="U601" s="1"/>
  <c r="T604"/>
  <c r="T603" s="1"/>
  <c r="T602" s="1"/>
  <c r="T601" s="1"/>
  <c r="S604"/>
  <c r="S603" s="1"/>
  <c r="S602" s="1"/>
  <c r="S601" s="1"/>
  <c r="J604"/>
  <c r="J603" s="1"/>
  <c r="J602" s="1"/>
  <c r="J601" s="1"/>
  <c r="I604"/>
  <c r="I603" s="1"/>
  <c r="I602" s="1"/>
  <c r="I601" s="1"/>
  <c r="H604"/>
  <c r="H603" s="1"/>
  <c r="H602" s="1"/>
  <c r="H601" s="1"/>
  <c r="G604"/>
  <c r="G603" s="1"/>
  <c r="G602" s="1"/>
  <c r="G601" s="1"/>
  <c r="D604"/>
  <c r="D603" s="1"/>
  <c r="D602" s="1"/>
  <c r="D601" s="1"/>
  <c r="U598"/>
  <c r="U597" s="1"/>
  <c r="U596" s="1"/>
  <c r="U595" s="1"/>
  <c r="T598"/>
  <c r="T597" s="1"/>
  <c r="T596" s="1"/>
  <c r="T595" s="1"/>
  <c r="S598"/>
  <c r="S597" s="1"/>
  <c r="S596" s="1"/>
  <c r="S595" s="1"/>
  <c r="J598"/>
  <c r="J597" s="1"/>
  <c r="J596" s="1"/>
  <c r="J595" s="1"/>
  <c r="I598"/>
  <c r="I597" s="1"/>
  <c r="I596" s="1"/>
  <c r="I595" s="1"/>
  <c r="H598"/>
  <c r="H597" s="1"/>
  <c r="H596" s="1"/>
  <c r="H595" s="1"/>
  <c r="G598"/>
  <c r="G597" s="1"/>
  <c r="G596" s="1"/>
  <c r="G595" s="1"/>
  <c r="D598"/>
  <c r="D597" s="1"/>
  <c r="D596" s="1"/>
  <c r="D595" s="1"/>
  <c r="G593"/>
  <c r="G592" s="1"/>
  <c r="U592"/>
  <c r="U591" s="1"/>
  <c r="U590" s="1"/>
  <c r="U589" s="1"/>
  <c r="T592"/>
  <c r="T591" s="1"/>
  <c r="T590" s="1"/>
  <c r="T589" s="1"/>
  <c r="S592"/>
  <c r="S591" s="1"/>
  <c r="S590" s="1"/>
  <c r="S589" s="1"/>
  <c r="J592"/>
  <c r="J591" s="1"/>
  <c r="J590" s="1"/>
  <c r="J589" s="1"/>
  <c r="I592"/>
  <c r="H592"/>
  <c r="H591" s="1"/>
  <c r="H590" s="1"/>
  <c r="H589" s="1"/>
  <c r="D592"/>
  <c r="D591" s="1"/>
  <c r="D590" s="1"/>
  <c r="U586"/>
  <c r="U585" s="1"/>
  <c r="T586"/>
  <c r="T585" s="1"/>
  <c r="S586"/>
  <c r="J586"/>
  <c r="J585" s="1"/>
  <c r="J584" s="1"/>
  <c r="J583" s="1"/>
  <c r="I586"/>
  <c r="I585" s="1"/>
  <c r="I584" s="1"/>
  <c r="H586"/>
  <c r="H585" s="1"/>
  <c r="G586"/>
  <c r="G585" s="1"/>
  <c r="G584" s="1"/>
  <c r="D586"/>
  <c r="D585" s="1"/>
  <c r="G577"/>
  <c r="G576" s="1"/>
  <c r="U576"/>
  <c r="T576"/>
  <c r="S576"/>
  <c r="J576"/>
  <c r="I576"/>
  <c r="H576"/>
  <c r="D576"/>
  <c r="U574"/>
  <c r="U573" s="1"/>
  <c r="U572" s="1"/>
  <c r="T574"/>
  <c r="T573" s="1"/>
  <c r="T572" s="1"/>
  <c r="S574"/>
  <c r="S573" s="1"/>
  <c r="S572" s="1"/>
  <c r="J574"/>
  <c r="J573" s="1"/>
  <c r="J572" s="1"/>
  <c r="I574"/>
  <c r="I573" s="1"/>
  <c r="I572" s="1"/>
  <c r="H574"/>
  <c r="H573" s="1"/>
  <c r="H572" s="1"/>
  <c r="G574"/>
  <c r="G573" s="1"/>
  <c r="G572" s="1"/>
  <c r="D574"/>
  <c r="D573" s="1"/>
  <c r="D572" s="1"/>
  <c r="U568"/>
  <c r="T568"/>
  <c r="S568"/>
  <c r="J568"/>
  <c r="I568"/>
  <c r="H568"/>
  <c r="G568"/>
  <c r="U562"/>
  <c r="U561" s="1"/>
  <c r="T562"/>
  <c r="T561" s="1"/>
  <c r="S562"/>
  <c r="S561" s="1"/>
  <c r="J562"/>
  <c r="J561" s="1"/>
  <c r="I562"/>
  <c r="I561" s="1"/>
  <c r="H562"/>
  <c r="H561" s="1"/>
  <c r="G562"/>
  <c r="G561" s="1"/>
  <c r="D562"/>
  <c r="D561" s="1"/>
  <c r="D560" s="1"/>
  <c r="U556"/>
  <c r="U555" s="1"/>
  <c r="U554" s="1"/>
  <c r="U23" s="1"/>
  <c r="T556"/>
  <c r="T555" s="1"/>
  <c r="T554" s="1"/>
  <c r="T23" s="1"/>
  <c r="S556"/>
  <c r="S555" s="1"/>
  <c r="S554" s="1"/>
  <c r="S23" s="1"/>
  <c r="J556"/>
  <c r="J555" s="1"/>
  <c r="J554" s="1"/>
  <c r="J23" s="1"/>
  <c r="J132" s="1"/>
  <c r="I556"/>
  <c r="I555" s="1"/>
  <c r="I554" s="1"/>
  <c r="I23" s="1"/>
  <c r="I132" s="1"/>
  <c r="H556"/>
  <c r="H555" s="1"/>
  <c r="H554" s="1"/>
  <c r="H23" s="1"/>
  <c r="G556"/>
  <c r="G555" s="1"/>
  <c r="G554" s="1"/>
  <c r="G23" s="1"/>
  <c r="G132" s="1"/>
  <c r="D556"/>
  <c r="D555" s="1"/>
  <c r="D554" s="1"/>
  <c r="D23" s="1"/>
  <c r="D552"/>
  <c r="G549"/>
  <c r="G548"/>
  <c r="D544"/>
  <c r="U541"/>
  <c r="T541"/>
  <c r="S541"/>
  <c r="J541"/>
  <c r="I541"/>
  <c r="H541"/>
  <c r="G541"/>
  <c r="D541"/>
  <c r="G538"/>
  <c r="G537"/>
  <c r="U533"/>
  <c r="T533"/>
  <c r="S533"/>
  <c r="J533"/>
  <c r="I533"/>
  <c r="H533"/>
  <c r="D533"/>
  <c r="D530"/>
  <c r="G527"/>
  <c r="G526"/>
  <c r="U522"/>
  <c r="T522"/>
  <c r="T521" s="1"/>
  <c r="S522"/>
  <c r="S521" s="1"/>
  <c r="J522"/>
  <c r="J521" s="1"/>
  <c r="I522"/>
  <c r="I521" s="1"/>
  <c r="H522"/>
  <c r="D522"/>
  <c r="U519"/>
  <c r="T519"/>
  <c r="S519"/>
  <c r="J519"/>
  <c r="I519"/>
  <c r="H519"/>
  <c r="G519"/>
  <c r="D519"/>
  <c r="G516"/>
  <c r="G515"/>
  <c r="U511"/>
  <c r="T511"/>
  <c r="S511"/>
  <c r="J511"/>
  <c r="I511"/>
  <c r="H511"/>
  <c r="D511"/>
  <c r="H505"/>
  <c r="H504" s="1"/>
  <c r="G505"/>
  <c r="G492" s="1"/>
  <c r="G481" s="1"/>
  <c r="D505"/>
  <c r="D492" s="1"/>
  <c r="D481" s="1"/>
  <c r="U504"/>
  <c r="T504"/>
  <c r="S504"/>
  <c r="J504"/>
  <c r="I504"/>
  <c r="G500"/>
  <c r="G499"/>
  <c r="U495"/>
  <c r="T495"/>
  <c r="S495"/>
  <c r="J495"/>
  <c r="H495"/>
  <c r="D495"/>
  <c r="U493"/>
  <c r="U482" s="1"/>
  <c r="T493"/>
  <c r="T482" s="1"/>
  <c r="S493"/>
  <c r="S482" s="1"/>
  <c r="J493"/>
  <c r="J482" s="1"/>
  <c r="I493"/>
  <c r="I482" s="1"/>
  <c r="H493"/>
  <c r="H482" s="1"/>
  <c r="G493"/>
  <c r="G482" s="1"/>
  <c r="D493"/>
  <c r="D482" s="1"/>
  <c r="U489"/>
  <c r="T489"/>
  <c r="S489"/>
  <c r="J489"/>
  <c r="I489"/>
  <c r="H489"/>
  <c r="H477" s="1"/>
  <c r="D489"/>
  <c r="D477" s="1"/>
  <c r="U488"/>
  <c r="U475" s="1"/>
  <c r="U27" s="1"/>
  <c r="T488"/>
  <c r="T475" s="1"/>
  <c r="T27" s="1"/>
  <c r="S488"/>
  <c r="S475" s="1"/>
  <c r="S27" s="1"/>
  <c r="J488"/>
  <c r="J475" s="1"/>
  <c r="J27" s="1"/>
  <c r="I488"/>
  <c r="I475" s="1"/>
  <c r="I27" s="1"/>
  <c r="H488"/>
  <c r="H475" s="1"/>
  <c r="D488"/>
  <c r="D475" s="1"/>
  <c r="H487"/>
  <c r="G487"/>
  <c r="D487"/>
  <c r="U486"/>
  <c r="U474" s="1"/>
  <c r="T486"/>
  <c r="T474" s="1"/>
  <c r="S486"/>
  <c r="S474" s="1"/>
  <c r="J486"/>
  <c r="J474" s="1"/>
  <c r="I486"/>
  <c r="I474" s="1"/>
  <c r="H486"/>
  <c r="H474" s="1"/>
  <c r="G486"/>
  <c r="G474" s="1"/>
  <c r="D486"/>
  <c r="D474" s="1"/>
  <c r="U479"/>
  <c r="U462" s="1"/>
  <c r="T479"/>
  <c r="T462" s="1"/>
  <c r="S479"/>
  <c r="S462" s="1"/>
  <c r="J479"/>
  <c r="J462" s="1"/>
  <c r="I479"/>
  <c r="I462" s="1"/>
  <c r="H479"/>
  <c r="H462" s="1"/>
  <c r="G479"/>
  <c r="G462" s="1"/>
  <c r="D479"/>
  <c r="D462" s="1"/>
  <c r="U476"/>
  <c r="T476"/>
  <c r="S476"/>
  <c r="J476"/>
  <c r="I476"/>
  <c r="H476"/>
  <c r="G476"/>
  <c r="D476"/>
  <c r="H467"/>
  <c r="G467"/>
  <c r="D467"/>
  <c r="U465"/>
  <c r="U238" s="1"/>
  <c r="T465"/>
  <c r="T238" s="1"/>
  <c r="S465"/>
  <c r="S238" s="1"/>
  <c r="J465"/>
  <c r="I465"/>
  <c r="I238" s="1"/>
  <c r="H465"/>
  <c r="H238" s="1"/>
  <c r="G465"/>
  <c r="G238" s="1"/>
  <c r="D465"/>
  <c r="D238" s="1"/>
  <c r="U464"/>
  <c r="U237" s="1"/>
  <c r="T464"/>
  <c r="T237" s="1"/>
  <c r="S464"/>
  <c r="J464"/>
  <c r="J237" s="1"/>
  <c r="I464"/>
  <c r="H464"/>
  <c r="H237" s="1"/>
  <c r="D464"/>
  <c r="D237" s="1"/>
  <c r="U449"/>
  <c r="U424" s="1"/>
  <c r="T449"/>
  <c r="T424" s="1"/>
  <c r="S449"/>
  <c r="S424" s="1"/>
  <c r="J449"/>
  <c r="J424" s="1"/>
  <c r="I449"/>
  <c r="I424" s="1"/>
  <c r="H449"/>
  <c r="G449"/>
  <c r="D449"/>
  <c r="U445"/>
  <c r="U444" s="1"/>
  <c r="T445"/>
  <c r="T444" s="1"/>
  <c r="S445"/>
  <c r="S444" s="1"/>
  <c r="J445"/>
  <c r="J444" s="1"/>
  <c r="I445"/>
  <c r="I444" s="1"/>
  <c r="H445"/>
  <c r="H444" s="1"/>
  <c r="G445"/>
  <c r="G444" s="1"/>
  <c r="D445"/>
  <c r="D444" s="1"/>
  <c r="U440"/>
  <c r="T440"/>
  <c r="S440"/>
  <c r="J440"/>
  <c r="I440"/>
  <c r="H440"/>
  <c r="G440"/>
  <c r="U438"/>
  <c r="T438"/>
  <c r="T437" s="1"/>
  <c r="S438"/>
  <c r="S437" s="1"/>
  <c r="J438"/>
  <c r="J437" s="1"/>
  <c r="I438"/>
  <c r="I437" s="1"/>
  <c r="H438"/>
  <c r="H437" s="1"/>
  <c r="G438"/>
  <c r="D438"/>
  <c r="H432"/>
  <c r="H431" s="1"/>
  <c r="G432"/>
  <c r="D432"/>
  <c r="D431" s="1"/>
  <c r="U429"/>
  <c r="U428" s="1"/>
  <c r="U427" s="1"/>
  <c r="T429"/>
  <c r="T428" s="1"/>
  <c r="T427" s="1"/>
  <c r="S429"/>
  <c r="S428" s="1"/>
  <c r="J429"/>
  <c r="J428" s="1"/>
  <c r="J427" s="1"/>
  <c r="I429"/>
  <c r="I428" s="1"/>
  <c r="H429"/>
  <c r="H428" s="1"/>
  <c r="G429"/>
  <c r="G428" s="1"/>
  <c r="D429"/>
  <c r="D428" s="1"/>
  <c r="U425"/>
  <c r="T425"/>
  <c r="S425"/>
  <c r="J425"/>
  <c r="I425"/>
  <c r="U423"/>
  <c r="T423"/>
  <c r="S423"/>
  <c r="J423"/>
  <c r="I423"/>
  <c r="H423"/>
  <c r="G423"/>
  <c r="D423"/>
  <c r="U422"/>
  <c r="T422"/>
  <c r="S422"/>
  <c r="J422"/>
  <c r="I422"/>
  <c r="H422"/>
  <c r="G422"/>
  <c r="D422"/>
  <c r="U421"/>
  <c r="T421"/>
  <c r="S421"/>
  <c r="J421"/>
  <c r="I421"/>
  <c r="H421"/>
  <c r="G421"/>
  <c r="D421"/>
  <c r="U415"/>
  <c r="U413" s="1"/>
  <c r="U411" s="1"/>
  <c r="T415"/>
  <c r="T413" s="1"/>
  <c r="S415"/>
  <c r="S413" s="1"/>
  <c r="S411" s="1"/>
  <c r="J415"/>
  <c r="J250" s="1"/>
  <c r="J226" s="1"/>
  <c r="I415"/>
  <c r="I250" s="1"/>
  <c r="I226" s="1"/>
  <c r="H415"/>
  <c r="H413" s="1"/>
  <c r="G415"/>
  <c r="G413" s="1"/>
  <c r="D415"/>
  <c r="D413" s="1"/>
  <c r="U400"/>
  <c r="U399" s="1"/>
  <c r="U398" s="1"/>
  <c r="U397" s="1"/>
  <c r="T400"/>
  <c r="T399" s="1"/>
  <c r="T398" s="1"/>
  <c r="T397" s="1"/>
  <c r="S400"/>
  <c r="S399" s="1"/>
  <c r="J400"/>
  <c r="J399" s="1"/>
  <c r="J398" s="1"/>
  <c r="J397" s="1"/>
  <c r="I400"/>
  <c r="I399" s="1"/>
  <c r="I398" s="1"/>
  <c r="I397" s="1"/>
  <c r="H400"/>
  <c r="H399" s="1"/>
  <c r="G400"/>
  <c r="G399" s="1"/>
  <c r="D400"/>
  <c r="D399" s="1"/>
  <c r="U395"/>
  <c r="T395"/>
  <c r="S395"/>
  <c r="J395"/>
  <c r="I395"/>
  <c r="H395"/>
  <c r="G395"/>
  <c r="D395"/>
  <c r="U391"/>
  <c r="U390" s="1"/>
  <c r="U389" s="1"/>
  <c r="T391"/>
  <c r="T390" s="1"/>
  <c r="T389" s="1"/>
  <c r="S391"/>
  <c r="S252" s="1"/>
  <c r="J391"/>
  <c r="J390" s="1"/>
  <c r="J389" s="1"/>
  <c r="I391"/>
  <c r="I390" s="1"/>
  <c r="I389" s="1"/>
  <c r="G391"/>
  <c r="G390" s="1"/>
  <c r="G389" s="1"/>
  <c r="D252"/>
  <c r="U386"/>
  <c r="U385" s="1"/>
  <c r="T386"/>
  <c r="T385" s="1"/>
  <c r="T384" s="1"/>
  <c r="S386"/>
  <c r="S385" s="1"/>
  <c r="S384" s="1"/>
  <c r="J386"/>
  <c r="J385" s="1"/>
  <c r="J384" s="1"/>
  <c r="I386"/>
  <c r="I385" s="1"/>
  <c r="I384" s="1"/>
  <c r="H386"/>
  <c r="H385" s="1"/>
  <c r="H384" s="1"/>
  <c r="G386"/>
  <c r="G385" s="1"/>
  <c r="G384" s="1"/>
  <c r="D386"/>
  <c r="D385" s="1"/>
  <c r="D384" s="1"/>
  <c r="U379"/>
  <c r="U378" s="1"/>
  <c r="U377" s="1"/>
  <c r="T379"/>
  <c r="T378" s="1"/>
  <c r="T377" s="1"/>
  <c r="S379"/>
  <c r="S378" s="1"/>
  <c r="S377" s="1"/>
  <c r="J379"/>
  <c r="J378" s="1"/>
  <c r="J377" s="1"/>
  <c r="I379"/>
  <c r="I378" s="1"/>
  <c r="I377" s="1"/>
  <c r="H379"/>
  <c r="H378" s="1"/>
  <c r="H377" s="1"/>
  <c r="G379"/>
  <c r="G378" s="1"/>
  <c r="G377" s="1"/>
  <c r="D379"/>
  <c r="D378" s="1"/>
  <c r="D377" s="1"/>
  <c r="U373"/>
  <c r="U372" s="1"/>
  <c r="U371" s="1"/>
  <c r="T373"/>
  <c r="T372" s="1"/>
  <c r="T371" s="1"/>
  <c r="S373"/>
  <c r="S372" s="1"/>
  <c r="S371" s="1"/>
  <c r="J373"/>
  <c r="J372" s="1"/>
  <c r="J371" s="1"/>
  <c r="I373"/>
  <c r="I372" s="1"/>
  <c r="I371" s="1"/>
  <c r="H373"/>
  <c r="H372" s="1"/>
  <c r="H371" s="1"/>
  <c r="G373"/>
  <c r="G372" s="1"/>
  <c r="G371" s="1"/>
  <c r="D373"/>
  <c r="D372" s="1"/>
  <c r="D371" s="1"/>
  <c r="U367"/>
  <c r="U366" s="1"/>
  <c r="U365" s="1"/>
  <c r="T367"/>
  <c r="T366" s="1"/>
  <c r="T365" s="1"/>
  <c r="S367"/>
  <c r="S366" s="1"/>
  <c r="S365" s="1"/>
  <c r="J367"/>
  <c r="J366" s="1"/>
  <c r="J365" s="1"/>
  <c r="I367"/>
  <c r="I366" s="1"/>
  <c r="I365" s="1"/>
  <c r="H367"/>
  <c r="G367"/>
  <c r="G366" s="1"/>
  <c r="G365" s="1"/>
  <c r="D367"/>
  <c r="D366" s="1"/>
  <c r="D365" s="1"/>
  <c r="U361"/>
  <c r="U360" s="1"/>
  <c r="U359" s="1"/>
  <c r="T361"/>
  <c r="T360" s="1"/>
  <c r="T359" s="1"/>
  <c r="S361"/>
  <c r="S360" s="1"/>
  <c r="S359" s="1"/>
  <c r="J361"/>
  <c r="J360" s="1"/>
  <c r="J359" s="1"/>
  <c r="I361"/>
  <c r="I360" s="1"/>
  <c r="I359" s="1"/>
  <c r="H361"/>
  <c r="H360" s="1"/>
  <c r="H359" s="1"/>
  <c r="G361"/>
  <c r="G360" s="1"/>
  <c r="G359" s="1"/>
  <c r="D361"/>
  <c r="D360" s="1"/>
  <c r="D359" s="1"/>
  <c r="U355"/>
  <c r="U354" s="1"/>
  <c r="U353" s="1"/>
  <c r="T355"/>
  <c r="T354" s="1"/>
  <c r="T353" s="1"/>
  <c r="S355"/>
  <c r="S354" s="1"/>
  <c r="S353" s="1"/>
  <c r="J355"/>
  <c r="J354" s="1"/>
  <c r="J353" s="1"/>
  <c r="I355"/>
  <c r="I354" s="1"/>
  <c r="I353" s="1"/>
  <c r="H355"/>
  <c r="H354" s="1"/>
  <c r="H353" s="1"/>
  <c r="G355"/>
  <c r="G354" s="1"/>
  <c r="G353" s="1"/>
  <c r="D355"/>
  <c r="D354" s="1"/>
  <c r="D353" s="1"/>
  <c r="H349"/>
  <c r="H348" s="1"/>
  <c r="H347" s="1"/>
  <c r="G349"/>
  <c r="G348" s="1"/>
  <c r="G347" s="1"/>
  <c r="D349"/>
  <c r="D348" s="1"/>
  <c r="D347" s="1"/>
  <c r="H343"/>
  <c r="H342" s="1"/>
  <c r="H341" s="1"/>
  <c r="G343"/>
  <c r="G342" s="1"/>
  <c r="G341" s="1"/>
  <c r="D343"/>
  <c r="D342" s="1"/>
  <c r="D341" s="1"/>
  <c r="H337"/>
  <c r="H336" s="1"/>
  <c r="H335" s="1"/>
  <c r="G337"/>
  <c r="G336" s="1"/>
  <c r="G335" s="1"/>
  <c r="D337"/>
  <c r="U331"/>
  <c r="U330" s="1"/>
  <c r="U329" s="1"/>
  <c r="T331"/>
  <c r="T330" s="1"/>
  <c r="T329" s="1"/>
  <c r="S331"/>
  <c r="S330" s="1"/>
  <c r="S329" s="1"/>
  <c r="J331"/>
  <c r="J330" s="1"/>
  <c r="J329" s="1"/>
  <c r="I331"/>
  <c r="I330" s="1"/>
  <c r="I329" s="1"/>
  <c r="H331"/>
  <c r="H330" s="1"/>
  <c r="H329" s="1"/>
  <c r="G331"/>
  <c r="G330" s="1"/>
  <c r="G329" s="1"/>
  <c r="D331"/>
  <c r="D330" s="1"/>
  <c r="D329" s="1"/>
  <c r="U325"/>
  <c r="U324" s="1"/>
  <c r="U323" s="1"/>
  <c r="T325"/>
  <c r="T324" s="1"/>
  <c r="T323" s="1"/>
  <c r="S325"/>
  <c r="S324" s="1"/>
  <c r="S323" s="1"/>
  <c r="J325"/>
  <c r="J324" s="1"/>
  <c r="J323" s="1"/>
  <c r="I325"/>
  <c r="I324" s="1"/>
  <c r="I323" s="1"/>
  <c r="H325"/>
  <c r="H324" s="1"/>
  <c r="H323" s="1"/>
  <c r="G325"/>
  <c r="G324" s="1"/>
  <c r="G323" s="1"/>
  <c r="D325"/>
  <c r="D324" s="1"/>
  <c r="D323" s="1"/>
  <c r="U319"/>
  <c r="U318" s="1"/>
  <c r="U317" s="1"/>
  <c r="T319"/>
  <c r="T318" s="1"/>
  <c r="T317" s="1"/>
  <c r="S319"/>
  <c r="S318" s="1"/>
  <c r="S317" s="1"/>
  <c r="J319"/>
  <c r="I319"/>
  <c r="I318" s="1"/>
  <c r="I317" s="1"/>
  <c r="H319"/>
  <c r="H318" s="1"/>
  <c r="H317" s="1"/>
  <c r="G319"/>
  <c r="D319"/>
  <c r="D318" s="1"/>
  <c r="D317" s="1"/>
  <c r="U313"/>
  <c r="U312" s="1"/>
  <c r="U311" s="1"/>
  <c r="T313"/>
  <c r="T312" s="1"/>
  <c r="T311" s="1"/>
  <c r="S313"/>
  <c r="S312" s="1"/>
  <c r="S311" s="1"/>
  <c r="J313"/>
  <c r="J312" s="1"/>
  <c r="J311" s="1"/>
  <c r="I313"/>
  <c r="I312" s="1"/>
  <c r="I311" s="1"/>
  <c r="H313"/>
  <c r="H312" s="1"/>
  <c r="H311" s="1"/>
  <c r="G313"/>
  <c r="G312" s="1"/>
  <c r="G311" s="1"/>
  <c r="D313"/>
  <c r="D312" s="1"/>
  <c r="D311" s="1"/>
  <c r="U307"/>
  <c r="T307"/>
  <c r="T306" s="1"/>
  <c r="T305" s="1"/>
  <c r="S307"/>
  <c r="S306" s="1"/>
  <c r="S305" s="1"/>
  <c r="J307"/>
  <c r="J306" s="1"/>
  <c r="J305" s="1"/>
  <c r="I307"/>
  <c r="I306" s="1"/>
  <c r="I305" s="1"/>
  <c r="H307"/>
  <c r="H306" s="1"/>
  <c r="H305" s="1"/>
  <c r="G307"/>
  <c r="G306" s="1"/>
  <c r="G305" s="1"/>
  <c r="D307"/>
  <c r="D306" s="1"/>
  <c r="D305" s="1"/>
  <c r="G289"/>
  <c r="G264" s="1"/>
  <c r="U288"/>
  <c r="T288"/>
  <c r="S288"/>
  <c r="J288"/>
  <c r="I288"/>
  <c r="H288"/>
  <c r="G288"/>
  <c r="D288"/>
  <c r="U287"/>
  <c r="U106" s="1"/>
  <c r="T287"/>
  <c r="S287"/>
  <c r="J287"/>
  <c r="I287"/>
  <c r="H287"/>
  <c r="H106" s="1"/>
  <c r="H105" s="1"/>
  <c r="G287"/>
  <c r="G106" s="1"/>
  <c r="G105" s="1"/>
  <c r="D287"/>
  <c r="U286"/>
  <c r="T286"/>
  <c r="S286"/>
  <c r="J286"/>
  <c r="I286"/>
  <c r="H286"/>
  <c r="G286"/>
  <c r="D286"/>
  <c r="U284"/>
  <c r="T284"/>
  <c r="S284"/>
  <c r="J284"/>
  <c r="I284"/>
  <c r="H284"/>
  <c r="G284"/>
  <c r="D284"/>
  <c r="U283"/>
  <c r="T283"/>
  <c r="S283"/>
  <c r="J283"/>
  <c r="I283"/>
  <c r="H283"/>
  <c r="H102" s="1"/>
  <c r="H101" s="1"/>
  <c r="G283"/>
  <c r="G102" s="1"/>
  <c r="G101" s="1"/>
  <c r="D283"/>
  <c r="U282"/>
  <c r="T282"/>
  <c r="S282"/>
  <c r="J282"/>
  <c r="I282"/>
  <c r="H282"/>
  <c r="G282"/>
  <c r="D282"/>
  <c r="G269"/>
  <c r="G249" s="1"/>
  <c r="U267"/>
  <c r="U266" s="1"/>
  <c r="T267"/>
  <c r="T266" s="1"/>
  <c r="S267"/>
  <c r="S266" s="1"/>
  <c r="J267"/>
  <c r="J266" s="1"/>
  <c r="I267"/>
  <c r="I266" s="1"/>
  <c r="H267"/>
  <c r="H266" s="1"/>
  <c r="D267"/>
  <c r="D266" s="1"/>
  <c r="U264"/>
  <c r="T264"/>
  <c r="S264"/>
  <c r="J264"/>
  <c r="I264"/>
  <c r="H264"/>
  <c r="D264"/>
  <c r="H262"/>
  <c r="G262"/>
  <c r="D262"/>
  <c r="H261"/>
  <c r="G261"/>
  <c r="D261"/>
  <c r="H260"/>
  <c r="G260"/>
  <c r="D260"/>
  <c r="H259"/>
  <c r="G259"/>
  <c r="D259"/>
  <c r="H257"/>
  <c r="G257"/>
  <c r="D257"/>
  <c r="U255"/>
  <c r="T255"/>
  <c r="S255"/>
  <c r="J255"/>
  <c r="I255"/>
  <c r="H255"/>
  <c r="G255"/>
  <c r="D255"/>
  <c r="U254"/>
  <c r="T254"/>
  <c r="S254"/>
  <c r="J254"/>
  <c r="I254"/>
  <c r="H254"/>
  <c r="G254"/>
  <c r="D254"/>
  <c r="U253"/>
  <c r="T253"/>
  <c r="S253"/>
  <c r="J253"/>
  <c r="I253"/>
  <c r="H253"/>
  <c r="G253"/>
  <c r="D253"/>
  <c r="D230" s="1"/>
  <c r="H252"/>
  <c r="U251"/>
  <c r="U228" s="1"/>
  <c r="T251"/>
  <c r="T228" s="1"/>
  <c r="S251"/>
  <c r="S228" s="1"/>
  <c r="J251"/>
  <c r="J228" s="1"/>
  <c r="I251"/>
  <c r="I228" s="1"/>
  <c r="H251"/>
  <c r="H228" s="1"/>
  <c r="G251"/>
  <c r="G228" s="1"/>
  <c r="D251"/>
  <c r="D228" s="1"/>
  <c r="U249"/>
  <c r="T249"/>
  <c r="S249"/>
  <c r="J249"/>
  <c r="I249"/>
  <c r="H249"/>
  <c r="D249"/>
  <c r="U248"/>
  <c r="T248"/>
  <c r="S248"/>
  <c r="J248"/>
  <c r="I248"/>
  <c r="H248"/>
  <c r="G248"/>
  <c r="D248"/>
  <c r="D216"/>
  <c r="D212"/>
  <c r="D211" s="1"/>
  <c r="H203"/>
  <c r="G203"/>
  <c r="D202"/>
  <c r="U201"/>
  <c r="T201"/>
  <c r="S201"/>
  <c r="J201"/>
  <c r="I201"/>
  <c r="H201"/>
  <c r="G201"/>
  <c r="D201"/>
  <c r="U199"/>
  <c r="T199"/>
  <c r="S199"/>
  <c r="J199"/>
  <c r="I199"/>
  <c r="H199"/>
  <c r="G199"/>
  <c r="D199"/>
  <c r="U196"/>
  <c r="T196"/>
  <c r="S196"/>
  <c r="J196"/>
  <c r="I196"/>
  <c r="H196"/>
  <c r="G196"/>
  <c r="D196"/>
  <c r="U193"/>
  <c r="T193"/>
  <c r="S193"/>
  <c r="J193"/>
  <c r="I193"/>
  <c r="H193"/>
  <c r="G193"/>
  <c r="H184"/>
  <c r="G184"/>
  <c r="D184"/>
  <c r="U178"/>
  <c r="T178"/>
  <c r="S178"/>
  <c r="J178"/>
  <c r="I178"/>
  <c r="H178"/>
  <c r="G178"/>
  <c r="D178"/>
  <c r="U177"/>
  <c r="T177"/>
  <c r="S177"/>
  <c r="J177"/>
  <c r="I177"/>
  <c r="H177"/>
  <c r="G177"/>
  <c r="D177"/>
  <c r="D176"/>
  <c r="U166"/>
  <c r="U187" s="1"/>
  <c r="U186" s="1"/>
  <c r="T166"/>
  <c r="T187" s="1"/>
  <c r="T186" s="1"/>
  <c r="I166"/>
  <c r="I187" s="1"/>
  <c r="I186" s="1"/>
  <c r="H166"/>
  <c r="H187" s="1"/>
  <c r="H186" s="1"/>
  <c r="D166"/>
  <c r="D187" s="1"/>
  <c r="D186" s="1"/>
  <c r="U165"/>
  <c r="T165"/>
  <c r="S165"/>
  <c r="J165"/>
  <c r="I165"/>
  <c r="H165"/>
  <c r="G165"/>
  <c r="D165"/>
  <c r="U163"/>
  <c r="U161" s="1"/>
  <c r="T163"/>
  <c r="T161" s="1"/>
  <c r="S163"/>
  <c r="S161" s="1"/>
  <c r="J163"/>
  <c r="J161" s="1"/>
  <c r="I163"/>
  <c r="I161" s="1"/>
  <c r="H163"/>
  <c r="G163"/>
  <c r="D163"/>
  <c r="H162"/>
  <c r="G162"/>
  <c r="D162"/>
  <c r="U160"/>
  <c r="U159" s="1"/>
  <c r="T160"/>
  <c r="T159" s="1"/>
  <c r="S160"/>
  <c r="S159" s="1"/>
  <c r="J160"/>
  <c r="J159" s="1"/>
  <c r="I160"/>
  <c r="I159" s="1"/>
  <c r="H160"/>
  <c r="H159" s="1"/>
  <c r="G160"/>
  <c r="G159" s="1"/>
  <c r="D160"/>
  <c r="D159" s="1"/>
  <c r="U158"/>
  <c r="T158"/>
  <c r="S158"/>
  <c r="J158"/>
  <c r="I158"/>
  <c r="H158"/>
  <c r="G158"/>
  <c r="D158"/>
  <c r="U156"/>
  <c r="T156"/>
  <c r="S156"/>
  <c r="J156"/>
  <c r="I156"/>
  <c r="H156"/>
  <c r="G156"/>
  <c r="D156"/>
  <c r="U155"/>
  <c r="T155"/>
  <c r="S155"/>
  <c r="J155"/>
  <c r="I155"/>
  <c r="H155"/>
  <c r="G155"/>
  <c r="D155"/>
  <c r="U153"/>
  <c r="U152" s="1"/>
  <c r="T153"/>
  <c r="T152" s="1"/>
  <c r="S153"/>
  <c r="S152" s="1"/>
  <c r="J153"/>
  <c r="J152" s="1"/>
  <c r="I153"/>
  <c r="I152" s="1"/>
  <c r="H153"/>
  <c r="H152" s="1"/>
  <c r="G153"/>
  <c r="G152" s="1"/>
  <c r="D153"/>
  <c r="D152" s="1"/>
  <c r="U150"/>
  <c r="T150"/>
  <c r="S150"/>
  <c r="J150"/>
  <c r="I150"/>
  <c r="H150"/>
  <c r="G150"/>
  <c r="D150"/>
  <c r="U146"/>
  <c r="T146"/>
  <c r="S146"/>
  <c r="J146"/>
  <c r="I146"/>
  <c r="H146"/>
  <c r="G146"/>
  <c r="D146"/>
  <c r="U145"/>
  <c r="T145"/>
  <c r="S145"/>
  <c r="J145"/>
  <c r="I145"/>
  <c r="H145"/>
  <c r="G145"/>
  <c r="D145"/>
  <c r="U144"/>
  <c r="T144"/>
  <c r="S144"/>
  <c r="J144"/>
  <c r="I144"/>
  <c r="H144"/>
  <c r="G144"/>
  <c r="D144"/>
  <c r="U141"/>
  <c r="T141"/>
  <c r="S141"/>
  <c r="J141"/>
  <c r="I141"/>
  <c r="H141"/>
  <c r="G141"/>
  <c r="D141"/>
  <c r="U140"/>
  <c r="T140"/>
  <c r="S140"/>
  <c r="J140"/>
  <c r="I140"/>
  <c r="H140"/>
  <c r="D140"/>
  <c r="U138"/>
  <c r="T138"/>
  <c r="S138"/>
  <c r="J138"/>
  <c r="I138"/>
  <c r="H138"/>
  <c r="G138"/>
  <c r="D138"/>
  <c r="H137"/>
  <c r="G137"/>
  <c r="D137"/>
  <c r="U136"/>
  <c r="T136"/>
  <c r="S136"/>
  <c r="J136"/>
  <c r="I136"/>
  <c r="H136"/>
  <c r="G136"/>
  <c r="D136"/>
  <c r="U131"/>
  <c r="T131"/>
  <c r="S131"/>
  <c r="J131"/>
  <c r="I131"/>
  <c r="H131"/>
  <c r="G131"/>
  <c r="D131"/>
  <c r="U130"/>
  <c r="T130"/>
  <c r="S130"/>
  <c r="J130"/>
  <c r="I130"/>
  <c r="H130"/>
  <c r="G130"/>
  <c r="D130"/>
  <c r="U129"/>
  <c r="T129"/>
  <c r="S129"/>
  <c r="J129"/>
  <c r="I129"/>
  <c r="H129"/>
  <c r="G129"/>
  <c r="D129"/>
  <c r="U126"/>
  <c r="T126"/>
  <c r="S126"/>
  <c r="J126"/>
  <c r="I126"/>
  <c r="H126"/>
  <c r="G126"/>
  <c r="D126"/>
  <c r="U125"/>
  <c r="T125"/>
  <c r="S125"/>
  <c r="J125"/>
  <c r="I125"/>
  <c r="H125"/>
  <c r="G125"/>
  <c r="D125"/>
  <c r="U117"/>
  <c r="T117"/>
  <c r="S117"/>
  <c r="J117"/>
  <c r="I117"/>
  <c r="H117"/>
  <c r="G117"/>
  <c r="D117"/>
  <c r="H110"/>
  <c r="H216" s="1"/>
  <c r="G110"/>
  <c r="G216" s="1"/>
  <c r="D109"/>
  <c r="D215" s="1"/>
  <c r="D105"/>
  <c r="D101"/>
  <c r="U98"/>
  <c r="T98"/>
  <c r="S98"/>
  <c r="J98"/>
  <c r="I98"/>
  <c r="H98"/>
  <c r="G98"/>
  <c r="D98"/>
  <c r="U77"/>
  <c r="T77"/>
  <c r="S77"/>
  <c r="J77"/>
  <c r="I77"/>
  <c r="H77"/>
  <c r="G77"/>
  <c r="D77"/>
  <c r="D75" s="1"/>
  <c r="D74" s="1"/>
  <c r="H71"/>
  <c r="G71"/>
  <c r="D71"/>
  <c r="H67"/>
  <c r="G67"/>
  <c r="D67"/>
  <c r="H65"/>
  <c r="U62"/>
  <c r="T62"/>
  <c r="S62"/>
  <c r="J62"/>
  <c r="I62"/>
  <c r="H62"/>
  <c r="G62"/>
  <c r="D62"/>
  <c r="D58"/>
  <c r="U56"/>
  <c r="T56"/>
  <c r="S56"/>
  <c r="J56"/>
  <c r="I56"/>
  <c r="H56"/>
  <c r="G56"/>
  <c r="D56"/>
  <c r="U51"/>
  <c r="T51"/>
  <c r="S51"/>
  <c r="J51"/>
  <c r="I51"/>
  <c r="H51"/>
  <c r="G51"/>
  <c r="D51"/>
  <c r="U49"/>
  <c r="U44" s="1"/>
  <c r="U147" s="1"/>
  <c r="T49"/>
  <c r="T44" s="1"/>
  <c r="T147" s="1"/>
  <c r="S49"/>
  <c r="S44" s="1"/>
  <c r="S147" s="1"/>
  <c r="J49"/>
  <c r="J44" s="1"/>
  <c r="I49"/>
  <c r="I44" s="1"/>
  <c r="I147" s="1"/>
  <c r="H49"/>
  <c r="H44" s="1"/>
  <c r="H147" s="1"/>
  <c r="G49"/>
  <c r="G44" s="1"/>
  <c r="G147" s="1"/>
  <c r="D49"/>
  <c r="D44" s="1"/>
  <c r="U40"/>
  <c r="T40"/>
  <c r="S40"/>
  <c r="J40"/>
  <c r="I40"/>
  <c r="H40"/>
  <c r="G40"/>
  <c r="D40"/>
  <c r="G36"/>
  <c r="G140" s="1"/>
  <c r="U31"/>
  <c r="U135" s="1"/>
  <c r="T31"/>
  <c r="T135" s="1"/>
  <c r="S31"/>
  <c r="S135" s="1"/>
  <c r="J31"/>
  <c r="J135" s="1"/>
  <c r="I31"/>
  <c r="I135" s="1"/>
  <c r="H31"/>
  <c r="H135" s="1"/>
  <c r="G31"/>
  <c r="G135" s="1"/>
  <c r="D31"/>
  <c r="D135" s="1"/>
  <c r="H25"/>
  <c r="H134" s="1"/>
  <c r="G25"/>
  <c r="D25"/>
  <c r="D134" s="1"/>
  <c r="U15"/>
  <c r="T15"/>
  <c r="S15"/>
  <c r="J15"/>
  <c r="I15"/>
  <c r="H15"/>
  <c r="G15"/>
  <c r="D15"/>
  <c r="U13"/>
  <c r="U123" s="1"/>
  <c r="U122" s="1"/>
  <c r="T13"/>
  <c r="T123" s="1"/>
  <c r="T122" s="1"/>
  <c r="S13"/>
  <c r="S123" s="1"/>
  <c r="S122" s="1"/>
  <c r="J13"/>
  <c r="J123" s="1"/>
  <c r="J122" s="1"/>
  <c r="I13"/>
  <c r="I123" s="1"/>
  <c r="I122" s="1"/>
  <c r="H13"/>
  <c r="H123" s="1"/>
  <c r="H122" s="1"/>
  <c r="G13"/>
  <c r="G123" s="1"/>
  <c r="G122" s="1"/>
  <c r="D13"/>
  <c r="D123" s="1"/>
  <c r="D122" s="1"/>
  <c r="L127" l="1"/>
  <c r="R127" s="1"/>
  <c r="R128"/>
  <c r="R18"/>
  <c r="L12"/>
  <c r="R12" s="1"/>
  <c r="R171"/>
  <c r="L453"/>
  <c r="R453" s="1"/>
  <c r="S461"/>
  <c r="S232" s="1"/>
  <c r="D461"/>
  <c r="U461"/>
  <c r="U232" s="1"/>
  <c r="T491"/>
  <c r="T480" s="1"/>
  <c r="H461"/>
  <c r="H232" s="1"/>
  <c r="G523"/>
  <c r="G522" s="1"/>
  <c r="G521" s="1"/>
  <c r="G545"/>
  <c r="G544" s="1"/>
  <c r="G543" s="1"/>
  <c r="G512"/>
  <c r="G511" s="1"/>
  <c r="G510" s="1"/>
  <c r="T461"/>
  <c r="T232" s="1"/>
  <c r="G534"/>
  <c r="G533" s="1"/>
  <c r="G532" s="1"/>
  <c r="J461"/>
  <c r="J232" s="1"/>
  <c r="I461"/>
  <c r="I232" s="1"/>
  <c r="S491"/>
  <c r="S480" s="1"/>
  <c r="D712"/>
  <c r="D711" s="1"/>
  <c r="I491"/>
  <c r="I480" s="1"/>
  <c r="G496"/>
  <c r="U96"/>
  <c r="U202" s="1"/>
  <c r="U191" s="1"/>
  <c r="S102"/>
  <c r="S101" s="1"/>
  <c r="U1114"/>
  <c r="U1113" s="1"/>
  <c r="U1088"/>
  <c r="J102"/>
  <c r="J101" s="1"/>
  <c r="T1114"/>
  <c r="T1113" s="1"/>
  <c r="T1046" s="1"/>
  <c r="T1088"/>
  <c r="I102"/>
  <c r="I101" s="1"/>
  <c r="S1114"/>
  <c r="S1113" s="1"/>
  <c r="S1046" s="1"/>
  <c r="S1088"/>
  <c r="J1114"/>
  <c r="J1113" s="1"/>
  <c r="J1046" s="1"/>
  <c r="J1088"/>
  <c r="U491"/>
  <c r="U480" s="1"/>
  <c r="T106"/>
  <c r="T212" s="1"/>
  <c r="T211" s="1"/>
  <c r="S106"/>
  <c r="S212" s="1"/>
  <c r="S211" s="1"/>
  <c r="J106"/>
  <c r="J212" s="1"/>
  <c r="J211" s="1"/>
  <c r="I106"/>
  <c r="I212" s="1"/>
  <c r="I211" s="1"/>
  <c r="J491"/>
  <c r="J480" s="1"/>
  <c r="T96"/>
  <c r="T202" s="1"/>
  <c r="T191" s="1"/>
  <c r="U102"/>
  <c r="U101" s="1"/>
  <c r="U207" s="1"/>
  <c r="T102"/>
  <c r="T101" s="1"/>
  <c r="S96"/>
  <c r="S202" s="1"/>
  <c r="S191" s="1"/>
  <c r="I96"/>
  <c r="I202" s="1"/>
  <c r="I191" s="1"/>
  <c r="I477"/>
  <c r="I29"/>
  <c r="I25" s="1"/>
  <c r="I19" s="1"/>
  <c r="I18" s="1"/>
  <c r="S477"/>
  <c r="S29"/>
  <c r="S25" s="1"/>
  <c r="U477"/>
  <c r="U29"/>
  <c r="J96"/>
  <c r="J202" s="1"/>
  <c r="J191" s="1"/>
  <c r="U250"/>
  <c r="U226" s="1"/>
  <c r="T477"/>
  <c r="T29"/>
  <c r="J477"/>
  <c r="J29"/>
  <c r="J25" s="1"/>
  <c r="H230"/>
  <c r="G470"/>
  <c r="J466"/>
  <c r="J239" s="1"/>
  <c r="I1088"/>
  <c r="G425"/>
  <c r="G431"/>
  <c r="U252"/>
  <c r="I230"/>
  <c r="J252"/>
  <c r="I466"/>
  <c r="I239" s="1"/>
  <c r="T470"/>
  <c r="D456"/>
  <c r="D224" s="1"/>
  <c r="U456"/>
  <c r="U224" s="1"/>
  <c r="G240"/>
  <c r="U109"/>
  <c r="U215" s="1"/>
  <c r="S250"/>
  <c r="S226" s="1"/>
  <c r="I109"/>
  <c r="I215" s="1"/>
  <c r="G109"/>
  <c r="G215" s="1"/>
  <c r="I285"/>
  <c r="U1082"/>
  <c r="U1036" s="1"/>
  <c r="T252"/>
  <c r="T456"/>
  <c r="T224" s="1"/>
  <c r="T250"/>
  <c r="T226" s="1"/>
  <c r="S470"/>
  <c r="J109"/>
  <c r="J215" s="1"/>
  <c r="U230"/>
  <c r="H109"/>
  <c r="H215" s="1"/>
  <c r="J413"/>
  <c r="J412" s="1"/>
  <c r="J246" s="1"/>
  <c r="I457"/>
  <c r="U247"/>
  <c r="S109"/>
  <c r="S215" s="1"/>
  <c r="H124"/>
  <c r="I172"/>
  <c r="I171" s="1"/>
  <c r="I237"/>
  <c r="G252"/>
  <c r="G464"/>
  <c r="G237" s="1"/>
  <c r="T109"/>
  <c r="T215" s="1"/>
  <c r="D250"/>
  <c r="D226" s="1"/>
  <c r="D234"/>
  <c r="T839"/>
  <c r="H470"/>
  <c r="T494"/>
  <c r="U968"/>
  <c r="H436"/>
  <c r="U675"/>
  <c r="I252"/>
  <c r="U256"/>
  <c r="U233" s="1"/>
  <c r="S456"/>
  <c r="S224" s="1"/>
  <c r="G966"/>
  <c r="T256"/>
  <c r="T233" s="1"/>
  <c r="J456"/>
  <c r="J224" s="1"/>
  <c r="H1038"/>
  <c r="H234"/>
  <c r="G685"/>
  <c r="T1036"/>
  <c r="T654"/>
  <c r="G443"/>
  <c r="G442" s="1"/>
  <c r="S908"/>
  <c r="H896"/>
  <c r="J256"/>
  <c r="J233" s="1"/>
  <c r="I1051"/>
  <c r="T1054"/>
  <c r="U494"/>
  <c r="G124"/>
  <c r="D443"/>
  <c r="D442" s="1"/>
  <c r="H492"/>
  <c r="H481" s="1"/>
  <c r="J571"/>
  <c r="D848"/>
  <c r="U839"/>
  <c r="T919"/>
  <c r="I560"/>
  <c r="S870"/>
  <c r="D164"/>
  <c r="U1001"/>
  <c r="U979" s="1"/>
  <c r="U969" s="1"/>
  <c r="D571"/>
  <c r="S124"/>
  <c r="J285"/>
  <c r="G716"/>
  <c r="D863"/>
  <c r="G922"/>
  <c r="G921" s="1"/>
  <c r="G920" s="1"/>
  <c r="G919" s="1"/>
  <c r="D1016"/>
  <c r="U164"/>
  <c r="G388"/>
  <c r="H521"/>
  <c r="D642"/>
  <c r="D468" s="1"/>
  <c r="J685"/>
  <c r="D968"/>
  <c r="T457"/>
  <c r="D675"/>
  <c r="G848"/>
  <c r="H1001"/>
  <c r="H979" s="1"/>
  <c r="H969" s="1"/>
  <c r="H510"/>
  <c r="U742"/>
  <c r="T388"/>
  <c r="T383" s="1"/>
  <c r="U532"/>
  <c r="D877"/>
  <c r="D896"/>
  <c r="H240"/>
  <c r="S285"/>
  <c r="I908"/>
  <c r="H642"/>
  <c r="S848"/>
  <c r="H855"/>
  <c r="H870"/>
  <c r="S571"/>
  <c r="D910"/>
  <c r="G968"/>
  <c r="T420"/>
  <c r="U436"/>
  <c r="U426" s="1"/>
  <c r="J560"/>
  <c r="U582"/>
  <c r="U654"/>
  <c r="G694"/>
  <c r="G980"/>
  <c r="G971" s="1"/>
  <c r="J1016"/>
  <c r="H96"/>
  <c r="H202" s="1"/>
  <c r="H191" s="1"/>
  <c r="S1092"/>
  <c r="S1081" s="1"/>
  <c r="D510"/>
  <c r="G489"/>
  <c r="G477" s="1"/>
  <c r="I654"/>
  <c r="S390"/>
  <c r="S389" s="1"/>
  <c r="S388" s="1"/>
  <c r="I443"/>
  <c r="I442" s="1"/>
  <c r="I703"/>
  <c r="T1001"/>
  <c r="T979" s="1"/>
  <c r="T969" s="1"/>
  <c r="U1060"/>
  <c r="U1059" s="1"/>
  <c r="U1049" s="1"/>
  <c r="U154"/>
  <c r="T675"/>
  <c r="U694"/>
  <c r="G947"/>
  <c r="H443"/>
  <c r="H442" s="1"/>
  <c r="D640"/>
  <c r="I642"/>
  <c r="I468" s="1"/>
  <c r="I241" s="1"/>
  <c r="S675"/>
  <c r="D685"/>
  <c r="T694"/>
  <c r="H703"/>
  <c r="I839"/>
  <c r="J1030"/>
  <c r="J1014" s="1"/>
  <c r="J1015"/>
  <c r="I582"/>
  <c r="G835"/>
  <c r="U870"/>
  <c r="T870"/>
  <c r="J968"/>
  <c r="D143"/>
  <c r="U143"/>
  <c r="S412"/>
  <c r="J470"/>
  <c r="I571"/>
  <c r="G642"/>
  <c r="G468" s="1"/>
  <c r="S1000"/>
  <c r="T1038"/>
  <c r="U388"/>
  <c r="U1054"/>
  <c r="G1049"/>
  <c r="I388"/>
  <c r="I383" s="1"/>
  <c r="D521"/>
  <c r="D532"/>
  <c r="H968"/>
  <c r="J143"/>
  <c r="J388"/>
  <c r="J383" s="1"/>
  <c r="T443"/>
  <c r="T442" s="1"/>
  <c r="T510"/>
  <c r="D581"/>
  <c r="D835"/>
  <c r="I906"/>
  <c r="I740" s="1"/>
  <c r="G1051"/>
  <c r="T1060"/>
  <c r="D1099"/>
  <c r="S143"/>
  <c r="I154"/>
  <c r="D390"/>
  <c r="D389" s="1"/>
  <c r="G870"/>
  <c r="D919"/>
  <c r="S39"/>
  <c r="J484"/>
  <c r="J472" s="1"/>
  <c r="H388"/>
  <c r="I742"/>
  <c r="U848"/>
  <c r="G154"/>
  <c r="G281"/>
  <c r="G234"/>
  <c r="H839"/>
  <c r="H928"/>
  <c r="H938"/>
  <c r="D947"/>
  <c r="D504"/>
  <c r="D491" s="1"/>
  <c r="D480" s="1"/>
  <c r="J670"/>
  <c r="J669" s="1"/>
  <c r="D855"/>
  <c r="H889"/>
  <c r="G938"/>
  <c r="D909"/>
  <c r="D746" s="1"/>
  <c r="H1056"/>
  <c r="G821"/>
  <c r="G766" s="1"/>
  <c r="G765" s="1"/>
  <c r="S1016"/>
  <c r="S966" s="1"/>
  <c r="H161"/>
  <c r="U457"/>
  <c r="J457"/>
  <c r="D470"/>
  <c r="D457"/>
  <c r="G855"/>
  <c r="U470"/>
  <c r="D232"/>
  <c r="H716"/>
  <c r="T132"/>
  <c r="I639"/>
  <c r="I669"/>
  <c r="G19"/>
  <c r="G18" s="1"/>
  <c r="D613"/>
  <c r="D664"/>
  <c r="D663" s="1"/>
  <c r="H821"/>
  <c r="I835"/>
  <c r="J870"/>
  <c r="D240"/>
  <c r="U420"/>
  <c r="G928"/>
  <c r="D1051"/>
  <c r="D1036" s="1"/>
  <c r="H1082"/>
  <c r="G984"/>
  <c r="G975" s="1"/>
  <c r="J124"/>
  <c r="S154"/>
  <c r="I281"/>
  <c r="T466"/>
  <c r="T239" s="1"/>
  <c r="G841"/>
  <c r="D870"/>
  <c r="I124"/>
  <c r="T436"/>
  <c r="T426" s="1"/>
  <c r="S443"/>
  <c r="S442" s="1"/>
  <c r="U685"/>
  <c r="D694"/>
  <c r="I870"/>
  <c r="I1038"/>
  <c r="G161"/>
  <c r="G267"/>
  <c r="G266" s="1"/>
  <c r="D281"/>
  <c r="H285"/>
  <c r="S419"/>
  <c r="U437"/>
  <c r="U419" s="1"/>
  <c r="S436"/>
  <c r="J443"/>
  <c r="J442" s="1"/>
  <c r="G504"/>
  <c r="G491" s="1"/>
  <c r="G480" s="1"/>
  <c r="T560"/>
  <c r="T582"/>
  <c r="J675"/>
  <c r="T685"/>
  <c r="D703"/>
  <c r="J908"/>
  <c r="I532"/>
  <c r="S560"/>
  <c r="D582"/>
  <c r="I675"/>
  <c r="I752"/>
  <c r="I751" s="1"/>
  <c r="J766"/>
  <c r="J748" s="1"/>
  <c r="J469" s="1"/>
  <c r="U919"/>
  <c r="S1054"/>
  <c r="D425"/>
  <c r="S510"/>
  <c r="H675"/>
  <c r="S919"/>
  <c r="S968"/>
  <c r="U1038"/>
  <c r="J1054"/>
  <c r="D124"/>
  <c r="G636"/>
  <c r="S654"/>
  <c r="T703"/>
  <c r="S822"/>
  <c r="H863"/>
  <c r="G877"/>
  <c r="G889"/>
  <c r="G908"/>
  <c r="J976"/>
  <c r="G1054"/>
  <c r="G1088"/>
  <c r="U124"/>
  <c r="G436"/>
  <c r="G495"/>
  <c r="I510"/>
  <c r="I591"/>
  <c r="I590" s="1"/>
  <c r="I589" s="1"/>
  <c r="H685"/>
  <c r="J694"/>
  <c r="T172"/>
  <c r="T171" s="1"/>
  <c r="G816"/>
  <c r="I822"/>
  <c r="G863"/>
  <c r="H983"/>
  <c r="H974" s="1"/>
  <c r="T124"/>
  <c r="G560"/>
  <c r="T571"/>
  <c r="H815"/>
  <c r="H835"/>
  <c r="D908"/>
  <c r="H1088"/>
  <c r="J230"/>
  <c r="J176"/>
  <c r="J172" s="1"/>
  <c r="J171" s="1"/>
  <c r="J147"/>
  <c r="J39"/>
  <c r="D834"/>
  <c r="S398"/>
  <c r="S397" s="1"/>
  <c r="S256"/>
  <c r="S233" s="1"/>
  <c r="H132"/>
  <c r="H128" s="1"/>
  <c r="H127" s="1"/>
  <c r="H19"/>
  <c r="H18" s="1"/>
  <c r="S1059"/>
  <c r="S1049" s="1"/>
  <c r="S1050"/>
  <c r="T411"/>
  <c r="T412"/>
  <c r="T246" s="1"/>
  <c r="G571"/>
  <c r="H1059"/>
  <c r="H1050"/>
  <c r="H1035" s="1"/>
  <c r="U105"/>
  <c r="U212"/>
  <c r="U211" s="1"/>
  <c r="S176"/>
  <c r="S172" s="1"/>
  <c r="S171" s="1"/>
  <c r="G613"/>
  <c r="H613"/>
  <c r="H39"/>
  <c r="G143"/>
  <c r="D161"/>
  <c r="T164"/>
  <c r="S230"/>
  <c r="J281"/>
  <c r="I413"/>
  <c r="I411" s="1"/>
  <c r="J420"/>
  <c r="D420"/>
  <c r="D584"/>
  <c r="D583" s="1"/>
  <c r="J582"/>
  <c r="I685"/>
  <c r="G742"/>
  <c r="S839"/>
  <c r="H919"/>
  <c r="T908"/>
  <c r="D938"/>
  <c r="H976"/>
  <c r="H966" s="1"/>
  <c r="G1114"/>
  <c r="G1113" s="1"/>
  <c r="G1046" s="1"/>
  <c r="G39"/>
  <c r="I105"/>
  <c r="U281"/>
  <c r="U560"/>
  <c r="J654"/>
  <c r="D766"/>
  <c r="D765" s="1"/>
  <c r="H906"/>
  <c r="H740" s="1"/>
  <c r="G1000"/>
  <c r="S1038"/>
  <c r="H154"/>
  <c r="D154"/>
  <c r="G172"/>
  <c r="G171" s="1"/>
  <c r="G318"/>
  <c r="G317" s="1"/>
  <c r="H366"/>
  <c r="H365" s="1"/>
  <c r="U571"/>
  <c r="I636"/>
  <c r="H639"/>
  <c r="G834"/>
  <c r="I834"/>
  <c r="T848"/>
  <c r="I848"/>
  <c r="D889"/>
  <c r="U908"/>
  <c r="H172"/>
  <c r="H171" s="1"/>
  <c r="T285"/>
  <c r="U412"/>
  <c r="U246" s="1"/>
  <c r="S427"/>
  <c r="T419"/>
  <c r="J419"/>
  <c r="H491"/>
  <c r="H480" s="1"/>
  <c r="G639"/>
  <c r="G675"/>
  <c r="G230"/>
  <c r="J742"/>
  <c r="J822"/>
  <c r="S979"/>
  <c r="S969" s="1"/>
  <c r="S1051"/>
  <c r="S1036" s="1"/>
  <c r="U443"/>
  <c r="U442" s="1"/>
  <c r="U510"/>
  <c r="T613"/>
  <c r="U636"/>
  <c r="H654"/>
  <c r="G703"/>
  <c r="H849"/>
  <c r="H848" s="1"/>
  <c r="I905"/>
  <c r="J1051"/>
  <c r="G1093"/>
  <c r="G1092" s="1"/>
  <c r="S984"/>
  <c r="S983" s="1"/>
  <c r="H457"/>
  <c r="H571"/>
  <c r="I613"/>
  <c r="G654"/>
  <c r="H742"/>
  <c r="H460" s="1"/>
  <c r="H231" s="1"/>
  <c r="S816"/>
  <c r="D839"/>
  <c r="G1050"/>
  <c r="D172"/>
  <c r="D171" s="1"/>
  <c r="D424"/>
  <c r="J510"/>
  <c r="J613"/>
  <c r="I694"/>
  <c r="G752"/>
  <c r="G751" s="1"/>
  <c r="T968"/>
  <c r="H1051"/>
  <c r="T1092"/>
  <c r="T1081" s="1"/>
  <c r="D1088"/>
  <c r="D1086" s="1"/>
  <c r="U984"/>
  <c r="U975" s="1"/>
  <c r="I419"/>
  <c r="I420"/>
  <c r="I436"/>
  <c r="G488"/>
  <c r="G475" s="1"/>
  <c r="G457" s="1"/>
  <c r="J532"/>
  <c r="H560"/>
  <c r="H582"/>
  <c r="D654"/>
  <c r="U703"/>
  <c r="D742"/>
  <c r="D460" s="1"/>
  <c r="D231" s="1"/>
  <c r="H1091"/>
  <c r="H1080" s="1"/>
  <c r="H694"/>
  <c r="T39"/>
  <c r="D100"/>
  <c r="D206" s="1"/>
  <c r="J154"/>
  <c r="S457"/>
  <c r="S766"/>
  <c r="S765" s="1"/>
  <c r="I766"/>
  <c r="I765" s="1"/>
  <c r="U906"/>
  <c r="U740" s="1"/>
  <c r="H980"/>
  <c r="H971" s="1"/>
  <c r="J983"/>
  <c r="G134"/>
  <c r="G128" s="1"/>
  <c r="G127" s="1"/>
  <c r="I143"/>
  <c r="T154"/>
  <c r="D191"/>
  <c r="G96"/>
  <c r="G202" s="1"/>
  <c r="G191" s="1"/>
  <c r="T532"/>
  <c r="S613"/>
  <c r="S703"/>
  <c r="T906"/>
  <c r="T740" s="1"/>
  <c r="J919"/>
  <c r="H909"/>
  <c r="H746" s="1"/>
  <c r="H466" s="1"/>
  <c r="I975"/>
  <c r="I965" s="1"/>
  <c r="H143"/>
  <c r="U172"/>
  <c r="U171" s="1"/>
  <c r="H247"/>
  <c r="J579"/>
  <c r="S685"/>
  <c r="J703"/>
  <c r="I841"/>
  <c r="H877"/>
  <c r="G896"/>
  <c r="J906"/>
  <c r="J740" s="1"/>
  <c r="I919"/>
  <c r="G909"/>
  <c r="G746" s="1"/>
  <c r="I1016"/>
  <c r="J1038"/>
  <c r="I645"/>
  <c r="I644" s="1"/>
  <c r="T636"/>
  <c r="S636"/>
  <c r="S466"/>
  <c r="S239" s="1"/>
  <c r="U466"/>
  <c r="U239" s="1"/>
  <c r="I968"/>
  <c r="H543"/>
  <c r="D147"/>
  <c r="D39"/>
  <c r="D398"/>
  <c r="D256"/>
  <c r="D233" s="1"/>
  <c r="H411"/>
  <c r="H412"/>
  <c r="T634"/>
  <c r="J581"/>
  <c r="G411"/>
  <c r="G412"/>
  <c r="S634"/>
  <c r="U39"/>
  <c r="U634"/>
  <c r="G582"/>
  <c r="G591"/>
  <c r="D411"/>
  <c r="D412"/>
  <c r="G583"/>
  <c r="U132"/>
  <c r="S132"/>
  <c r="U384"/>
  <c r="H634"/>
  <c r="I39"/>
  <c r="H494"/>
  <c r="H208"/>
  <c r="H207"/>
  <c r="G100"/>
  <c r="G206" s="1"/>
  <c r="G208"/>
  <c r="G207"/>
  <c r="H398"/>
  <c r="H397" s="1"/>
  <c r="H256"/>
  <c r="H233" s="1"/>
  <c r="G398"/>
  <c r="G256"/>
  <c r="G233" s="1"/>
  <c r="D589"/>
  <c r="H485"/>
  <c r="H473" s="1"/>
  <c r="H532"/>
  <c r="H484"/>
  <c r="H472" s="1"/>
  <c r="D19"/>
  <c r="D18" s="1"/>
  <c r="D132"/>
  <c r="D128" s="1"/>
  <c r="D127" s="1"/>
  <c r="T581"/>
  <c r="D437"/>
  <c r="D419" s="1"/>
  <c r="D436"/>
  <c r="H164"/>
  <c r="S237"/>
  <c r="J238"/>
  <c r="H250"/>
  <c r="H226" s="1"/>
  <c r="J318"/>
  <c r="J317" s="1"/>
  <c r="H419"/>
  <c r="H420"/>
  <c r="G437"/>
  <c r="G419" s="1"/>
  <c r="T485"/>
  <c r="T473" s="1"/>
  <c r="G738"/>
  <c r="G456" s="1"/>
  <c r="G224" s="1"/>
  <c r="H581"/>
  <c r="H584"/>
  <c r="D975"/>
  <c r="D965" s="1"/>
  <c r="D983"/>
  <c r="G250"/>
  <c r="G226" s="1"/>
  <c r="I256"/>
  <c r="I233" s="1"/>
  <c r="S281"/>
  <c r="G420"/>
  <c r="H456"/>
  <c r="H224" s="1"/>
  <c r="D485"/>
  <c r="D473" s="1"/>
  <c r="J494"/>
  <c r="U484"/>
  <c r="U472" s="1"/>
  <c r="S485"/>
  <c r="S473" s="1"/>
  <c r="H636"/>
  <c r="G637"/>
  <c r="H425"/>
  <c r="U521"/>
  <c r="U485"/>
  <c r="U473" s="1"/>
  <c r="H212"/>
  <c r="H211" s="1"/>
  <c r="T230"/>
  <c r="G285"/>
  <c r="T484"/>
  <c r="T472" s="1"/>
  <c r="J485"/>
  <c r="J473" s="1"/>
  <c r="G640"/>
  <c r="S694"/>
  <c r="S494"/>
  <c r="S484"/>
  <c r="S472" s="1"/>
  <c r="I495"/>
  <c r="I485"/>
  <c r="I473" s="1"/>
  <c r="G212"/>
  <c r="G211" s="1"/>
  <c r="D427"/>
  <c r="J994"/>
  <c r="T752"/>
  <c r="T742"/>
  <c r="D207"/>
  <c r="D208"/>
  <c r="H281"/>
  <c r="S420"/>
  <c r="S742"/>
  <c r="S752"/>
  <c r="J645"/>
  <c r="J644" s="1"/>
  <c r="J636"/>
  <c r="S642"/>
  <c r="S468" s="1"/>
  <c r="S241" s="1"/>
  <c r="S670"/>
  <c r="J751"/>
  <c r="U911"/>
  <c r="U905"/>
  <c r="T143"/>
  <c r="U285"/>
  <c r="J436"/>
  <c r="J426" s="1"/>
  <c r="U613"/>
  <c r="U670"/>
  <c r="D716"/>
  <c r="U584"/>
  <c r="U581"/>
  <c r="S585"/>
  <c r="S582"/>
  <c r="T911"/>
  <c r="T905"/>
  <c r="I427"/>
  <c r="D484"/>
  <c r="D472" s="1"/>
  <c r="T584"/>
  <c r="T670"/>
  <c r="D751"/>
  <c r="I910"/>
  <c r="I904"/>
  <c r="J580"/>
  <c r="D285"/>
  <c r="D336"/>
  <c r="D335" s="1"/>
  <c r="J905"/>
  <c r="J911"/>
  <c r="I164"/>
  <c r="T281"/>
  <c r="I583"/>
  <c r="G644"/>
  <c r="G634"/>
  <c r="T247"/>
  <c r="U306"/>
  <c r="U305" s="1"/>
  <c r="I456"/>
  <c r="I224" s="1"/>
  <c r="I470"/>
  <c r="S532"/>
  <c r="D636"/>
  <c r="D645"/>
  <c r="J1050"/>
  <c r="J1059"/>
  <c r="J1049" s="1"/>
  <c r="I1114"/>
  <c r="I1113" s="1"/>
  <c r="I1046" s="1"/>
  <c r="U821"/>
  <c r="G839"/>
  <c r="H908"/>
  <c r="I976"/>
  <c r="T976"/>
  <c r="I1050"/>
  <c r="I1059"/>
  <c r="T821"/>
  <c r="H975"/>
  <c r="G1099"/>
  <c r="G1089"/>
  <c r="G1047" s="1"/>
  <c r="D543"/>
  <c r="J816"/>
  <c r="U835"/>
  <c r="J839"/>
  <c r="H1046"/>
  <c r="T842"/>
  <c r="T835"/>
  <c r="D995"/>
  <c r="D980"/>
  <c r="D971" s="1"/>
  <c r="I816"/>
  <c r="U841"/>
  <c r="U834"/>
  <c r="S842"/>
  <c r="S835"/>
  <c r="H911"/>
  <c r="H905"/>
  <c r="G912"/>
  <c r="J1000"/>
  <c r="J1001"/>
  <c r="J979" s="1"/>
  <c r="J969" s="1"/>
  <c r="G979"/>
  <c r="G969" s="1"/>
  <c r="H947"/>
  <c r="D976"/>
  <c r="D930"/>
  <c r="D906"/>
  <c r="D740" s="1"/>
  <c r="D1059"/>
  <c r="D1050"/>
  <c r="D1035" s="1"/>
  <c r="U1081"/>
  <c r="U1091"/>
  <c r="U815"/>
  <c r="T815"/>
  <c r="H841"/>
  <c r="U1031"/>
  <c r="U1016"/>
  <c r="U966" s="1"/>
  <c r="D1056"/>
  <c r="D1054"/>
  <c r="T1099"/>
  <c r="T1089"/>
  <c r="T1047" s="1"/>
  <c r="D841"/>
  <c r="T1015"/>
  <c r="T1030"/>
  <c r="T1014" s="1"/>
  <c r="J1082"/>
  <c r="J1092"/>
  <c r="S1099"/>
  <c r="S1089"/>
  <c r="S1047" s="1"/>
  <c r="U1120"/>
  <c r="U1119" s="1"/>
  <c r="D1001"/>
  <c r="D1000"/>
  <c r="S1015"/>
  <c r="S1030"/>
  <c r="S1014" s="1"/>
  <c r="I1081"/>
  <c r="I1091"/>
  <c r="J1099"/>
  <c r="J1089"/>
  <c r="J1047" s="1"/>
  <c r="U752"/>
  <c r="J849"/>
  <c r="J835"/>
  <c r="S912"/>
  <c r="S906"/>
  <c r="S740" s="1"/>
  <c r="J975"/>
  <c r="I983"/>
  <c r="I974" s="1"/>
  <c r="I1082"/>
  <c r="G1084"/>
  <c r="G1038" s="1"/>
  <c r="U1089"/>
  <c r="U1047" s="1"/>
  <c r="T1016"/>
  <c r="D1038"/>
  <c r="I1030"/>
  <c r="I1014" s="1"/>
  <c r="H1031"/>
  <c r="I1089"/>
  <c r="I1047" s="1"/>
  <c r="D1092"/>
  <c r="I1001"/>
  <c r="I979" s="1"/>
  <c r="I969" s="1"/>
  <c r="G1031"/>
  <c r="I1056"/>
  <c r="H1089"/>
  <c r="H1047" s="1"/>
  <c r="D1120"/>
  <c r="D1119" s="1"/>
  <c r="D1046" s="1"/>
  <c r="D1030"/>
  <c r="D1014" s="1"/>
  <c r="L121" l="1"/>
  <c r="R121" s="1"/>
  <c r="L221"/>
  <c r="R221" s="1"/>
  <c r="J105"/>
  <c r="J100" s="1"/>
  <c r="J206" s="1"/>
  <c r="U1046"/>
  <c r="G983"/>
  <c r="G974" s="1"/>
  <c r="U25"/>
  <c r="U134" s="1"/>
  <c r="U128" s="1"/>
  <c r="U127" s="1"/>
  <c r="J134"/>
  <c r="J128" s="1"/>
  <c r="J127" s="1"/>
  <c r="T25"/>
  <c r="T134" s="1"/>
  <c r="T128" s="1"/>
  <c r="T127" s="1"/>
  <c r="G906"/>
  <c r="G740" s="1"/>
  <c r="G458" s="1"/>
  <c r="G229" s="1"/>
  <c r="H100"/>
  <c r="H206" s="1"/>
  <c r="G1082"/>
  <c r="G1036" s="1"/>
  <c r="J207"/>
  <c r="J208"/>
  <c r="I207"/>
  <c r="I208"/>
  <c r="I1080"/>
  <c r="G461"/>
  <c r="G232" s="1"/>
  <c r="J236"/>
  <c r="T105"/>
  <c r="T100" s="1"/>
  <c r="T206" s="1"/>
  <c r="T185" s="1"/>
  <c r="J19"/>
  <c r="J18" s="1"/>
  <c r="I460"/>
  <c r="I231" s="1"/>
  <c r="U208"/>
  <c r="S207"/>
  <c r="S208"/>
  <c r="T460"/>
  <c r="T231" s="1"/>
  <c r="T207"/>
  <c r="T208"/>
  <c r="S105"/>
  <c r="S100" s="1"/>
  <c r="S206" s="1"/>
  <c r="U1080"/>
  <c r="U1034" s="1"/>
  <c r="I1036"/>
  <c r="G243"/>
  <c r="J965"/>
  <c r="S134"/>
  <c r="S128" s="1"/>
  <c r="S127" s="1"/>
  <c r="S19"/>
  <c r="S18" s="1"/>
  <c r="I134"/>
  <c r="I128" s="1"/>
  <c r="I127" s="1"/>
  <c r="S460"/>
  <c r="S231" s="1"/>
  <c r="U100"/>
  <c r="U206" s="1"/>
  <c r="U185" s="1"/>
  <c r="S1035"/>
  <c r="U460"/>
  <c r="U231" s="1"/>
  <c r="J247"/>
  <c r="J411"/>
  <c r="J460"/>
  <c r="J231" s="1"/>
  <c r="D388"/>
  <c r="D246"/>
  <c r="G280"/>
  <c r="G263" s="1"/>
  <c r="G258" s="1"/>
  <c r="J765"/>
  <c r="J745" s="1"/>
  <c r="I280"/>
  <c r="I263" s="1"/>
  <c r="I258" s="1"/>
  <c r="I236"/>
  <c r="I581"/>
  <c r="T75"/>
  <c r="T74" s="1"/>
  <c r="U75"/>
  <c r="U74" s="1"/>
  <c r="S75"/>
  <c r="S74" s="1"/>
  <c r="T243"/>
  <c r="S243"/>
  <c r="U833"/>
  <c r="I75"/>
  <c r="I74" s="1"/>
  <c r="U1050"/>
  <c r="U1035" s="1"/>
  <c r="I580"/>
  <c r="I100"/>
  <c r="I206" s="1"/>
  <c r="I185" s="1"/>
  <c r="S1091"/>
  <c r="U383"/>
  <c r="I903"/>
  <c r="J418"/>
  <c r="J75"/>
  <c r="J74" s="1"/>
  <c r="D1091"/>
  <c r="D1080" s="1"/>
  <c r="J1036"/>
  <c r="J243"/>
  <c r="J966"/>
  <c r="U243"/>
  <c r="D966"/>
  <c r="H737"/>
  <c r="H455" s="1"/>
  <c r="S748"/>
  <c r="S469" s="1"/>
  <c r="J280"/>
  <c r="U142"/>
  <c r="H834"/>
  <c r="G247"/>
  <c r="D639"/>
  <c r="H833"/>
  <c r="J225"/>
  <c r="D1042"/>
  <c r="G241"/>
  <c r="H468"/>
  <c r="H241" s="1"/>
  <c r="D494"/>
  <c r="D483" s="1"/>
  <c r="D471" s="1"/>
  <c r="H1036"/>
  <c r="S975"/>
  <c r="S965" s="1"/>
  <c r="H280"/>
  <c r="H274" s="1"/>
  <c r="H265" s="1"/>
  <c r="S280"/>
  <c r="S274" s="1"/>
  <c r="S265" s="1"/>
  <c r="S247"/>
  <c r="D579"/>
  <c r="D570" s="1"/>
  <c r="T225"/>
  <c r="H225"/>
  <c r="D466"/>
  <c r="D239" s="1"/>
  <c r="T236"/>
  <c r="I579"/>
  <c r="I570" s="1"/>
  <c r="D280"/>
  <c r="D274" s="1"/>
  <c r="D265" s="1"/>
  <c r="H1049"/>
  <c r="H1034" s="1"/>
  <c r="S383"/>
  <c r="I142"/>
  <c r="J639"/>
  <c r="H383"/>
  <c r="T418"/>
  <c r="G466"/>
  <c r="G239" s="1"/>
  <c r="U458"/>
  <c r="U229" s="1"/>
  <c r="D241"/>
  <c r="S225"/>
  <c r="S974"/>
  <c r="S964" s="1"/>
  <c r="T1091"/>
  <c r="T1080" s="1"/>
  <c r="T280"/>
  <c r="T263" s="1"/>
  <c r="D426"/>
  <c r="D418" s="1"/>
  <c r="D580"/>
  <c r="G460"/>
  <c r="G231" s="1"/>
  <c r="J570"/>
  <c r="G745"/>
  <c r="G463" s="1"/>
  <c r="U225"/>
  <c r="G750"/>
  <c r="D225"/>
  <c r="I833"/>
  <c r="H766"/>
  <c r="H748" s="1"/>
  <c r="H469" s="1"/>
  <c r="G75"/>
  <c r="G74" s="1"/>
  <c r="G12" s="1"/>
  <c r="H75"/>
  <c r="H74" s="1"/>
  <c r="D1049"/>
  <c r="G748"/>
  <c r="G469" s="1"/>
  <c r="I748"/>
  <c r="I469" s="1"/>
  <c r="D243"/>
  <c r="S246"/>
  <c r="S483"/>
  <c r="S471" s="1"/>
  <c r="U483"/>
  <c r="U471" s="1"/>
  <c r="H483"/>
  <c r="H471" s="1"/>
  <c r="T483"/>
  <c r="T471" s="1"/>
  <c r="G833"/>
  <c r="G225"/>
  <c r="U766"/>
  <c r="U748" s="1"/>
  <c r="U469" s="1"/>
  <c r="I426"/>
  <c r="I418" s="1"/>
  <c r="I458"/>
  <c r="I229" s="1"/>
  <c r="G494"/>
  <c r="G483" s="1"/>
  <c r="G471" s="1"/>
  <c r="T1059"/>
  <c r="T1049" s="1"/>
  <c r="T1050"/>
  <c r="T1035" s="1"/>
  <c r="D833"/>
  <c r="D458"/>
  <c r="D229" s="1"/>
  <c r="D247"/>
  <c r="D185"/>
  <c r="S1086"/>
  <c r="S1042" s="1"/>
  <c r="H239"/>
  <c r="H236"/>
  <c r="I736"/>
  <c r="J483"/>
  <c r="J471" s="1"/>
  <c r="H185"/>
  <c r="T458"/>
  <c r="T229" s="1"/>
  <c r="D142"/>
  <c r="D121" s="1"/>
  <c r="I243"/>
  <c r="D748"/>
  <c r="D469" s="1"/>
  <c r="I737"/>
  <c r="I412"/>
  <c r="I246" s="1"/>
  <c r="I247"/>
  <c r="S426"/>
  <c r="S418" s="1"/>
  <c r="S745"/>
  <c r="D745"/>
  <c r="U280"/>
  <c r="U274" s="1"/>
  <c r="U265" s="1"/>
  <c r="I225"/>
  <c r="I745"/>
  <c r="I463" s="1"/>
  <c r="I750"/>
  <c r="J737"/>
  <c r="I966"/>
  <c r="H458"/>
  <c r="H229" s="1"/>
  <c r="G485"/>
  <c r="G473" s="1"/>
  <c r="J458"/>
  <c r="J229" s="1"/>
  <c r="H142"/>
  <c r="H121" s="1"/>
  <c r="U236"/>
  <c r="G484"/>
  <c r="G472" s="1"/>
  <c r="U418"/>
  <c r="I1049"/>
  <c r="T766"/>
  <c r="T765" s="1"/>
  <c r="T745" s="1"/>
  <c r="I964"/>
  <c r="U983"/>
  <c r="U974" s="1"/>
  <c r="H1086"/>
  <c r="H1042" s="1"/>
  <c r="T966"/>
  <c r="I1086"/>
  <c r="I1042" s="1"/>
  <c r="D12"/>
  <c r="I1035"/>
  <c r="G1086"/>
  <c r="G1042" s="1"/>
  <c r="T142"/>
  <c r="I634"/>
  <c r="S236"/>
  <c r="T583"/>
  <c r="T579" s="1"/>
  <c r="T570" s="1"/>
  <c r="T580"/>
  <c r="U751"/>
  <c r="U737"/>
  <c r="U455" s="1"/>
  <c r="U223" s="1"/>
  <c r="J1081"/>
  <c r="J1035" s="1"/>
  <c r="J1091"/>
  <c r="H1030"/>
  <c r="H1014" s="1"/>
  <c r="H964" s="1"/>
  <c r="H1015"/>
  <c r="H965" s="1"/>
  <c r="H910"/>
  <c r="H903" s="1"/>
  <c r="H904"/>
  <c r="U669"/>
  <c r="U639"/>
  <c r="G397"/>
  <c r="G383" s="1"/>
  <c r="G246"/>
  <c r="H643"/>
  <c r="H632" s="1"/>
  <c r="H633"/>
  <c r="T643"/>
  <c r="T633"/>
  <c r="J1086"/>
  <c r="J1042" s="1"/>
  <c r="H243"/>
  <c r="S458"/>
  <c r="S229" s="1"/>
  <c r="S911"/>
  <c r="S905"/>
  <c r="S737" s="1"/>
  <c r="S584"/>
  <c r="S581"/>
  <c r="D929"/>
  <c r="D905"/>
  <c r="D737" s="1"/>
  <c r="T639"/>
  <c r="T669"/>
  <c r="T904"/>
  <c r="T910"/>
  <c r="T903" s="1"/>
  <c r="U643"/>
  <c r="U633"/>
  <c r="G911"/>
  <c r="G905"/>
  <c r="G737" s="1"/>
  <c r="T983"/>
  <c r="T974" s="1"/>
  <c r="T964" s="1"/>
  <c r="T975"/>
  <c r="T965" s="1"/>
  <c r="J634"/>
  <c r="G427"/>
  <c r="G426" s="1"/>
  <c r="G418" s="1"/>
  <c r="G424"/>
  <c r="S751"/>
  <c r="H583"/>
  <c r="H579" s="1"/>
  <c r="H570" s="1"/>
  <c r="H580"/>
  <c r="J974"/>
  <c r="J964" s="1"/>
  <c r="G1015"/>
  <c r="G965" s="1"/>
  <c r="G1030"/>
  <c r="G1014" s="1"/>
  <c r="U1030"/>
  <c r="U1014" s="1"/>
  <c r="U1015"/>
  <c r="U965" s="1"/>
  <c r="T841"/>
  <c r="T833" s="1"/>
  <c r="T834"/>
  <c r="D750"/>
  <c r="S639"/>
  <c r="S669"/>
  <c r="S633"/>
  <c r="S643"/>
  <c r="U1086"/>
  <c r="U1042" s="1"/>
  <c r="T1086"/>
  <c r="T1042" s="1"/>
  <c r="I484"/>
  <c r="I472" s="1"/>
  <c r="I494"/>
  <c r="I483" s="1"/>
  <c r="I471" s="1"/>
  <c r="D397"/>
  <c r="G1081"/>
  <c r="G1035" s="1"/>
  <c r="G1091"/>
  <c r="G1080" s="1"/>
  <c r="G1034" s="1"/>
  <c r="S834"/>
  <c r="S841"/>
  <c r="S833" s="1"/>
  <c r="D634"/>
  <c r="D644"/>
  <c r="U904"/>
  <c r="U910"/>
  <c r="U903" s="1"/>
  <c r="J848"/>
  <c r="J833" s="1"/>
  <c r="J834"/>
  <c r="D994"/>
  <c r="D974" s="1"/>
  <c r="D964" s="1"/>
  <c r="D979"/>
  <c r="D969" s="1"/>
  <c r="G633"/>
  <c r="G643"/>
  <c r="G632" s="1"/>
  <c r="J910"/>
  <c r="J903" s="1"/>
  <c r="J904"/>
  <c r="U580"/>
  <c r="U583"/>
  <c r="U579" s="1"/>
  <c r="U570" s="1"/>
  <c r="T737"/>
  <c r="T455" s="1"/>
  <c r="T751"/>
  <c r="H427"/>
  <c r="H426" s="1"/>
  <c r="H418" s="1"/>
  <c r="H424"/>
  <c r="G581"/>
  <c r="G590"/>
  <c r="H246"/>
  <c r="L1136" l="1"/>
  <c r="R1136" s="1"/>
  <c r="T19"/>
  <c r="T18" s="1"/>
  <c r="T12" s="1"/>
  <c r="U19"/>
  <c r="U18" s="1"/>
  <c r="U12" s="1"/>
  <c r="H263"/>
  <c r="H258" s="1"/>
  <c r="H12"/>
  <c r="G274"/>
  <c r="G265" s="1"/>
  <c r="G245" s="1"/>
  <c r="T121"/>
  <c r="U121"/>
  <c r="J12"/>
  <c r="S1080"/>
  <c r="S1034" s="1"/>
  <c r="J1080"/>
  <c r="J1034" s="1"/>
  <c r="I121"/>
  <c r="G242"/>
  <c r="J750"/>
  <c r="J735" s="1"/>
  <c r="D383"/>
  <c r="D245" s="1"/>
  <c r="G964"/>
  <c r="I242"/>
  <c r="I274"/>
  <c r="I265" s="1"/>
  <c r="I245" s="1"/>
  <c r="T274"/>
  <c r="T265" s="1"/>
  <c r="T245" s="1"/>
  <c r="I12"/>
  <c r="S263"/>
  <c r="S242" s="1"/>
  <c r="S245"/>
  <c r="H736"/>
  <c r="H454" s="1"/>
  <c r="H222" s="1"/>
  <c r="D463"/>
  <c r="I1034"/>
  <c r="U245"/>
  <c r="D236"/>
  <c r="D263"/>
  <c r="D258" s="1"/>
  <c r="S12"/>
  <c r="G236"/>
  <c r="J274"/>
  <c r="J265" s="1"/>
  <c r="J245" s="1"/>
  <c r="J263"/>
  <c r="H223"/>
  <c r="H245"/>
  <c r="U964"/>
  <c r="T1034"/>
  <c r="U765"/>
  <c r="U745" s="1"/>
  <c r="U463" s="1"/>
  <c r="J463"/>
  <c r="H765"/>
  <c r="H750" s="1"/>
  <c r="H735" s="1"/>
  <c r="H453" s="1"/>
  <c r="I735"/>
  <c r="D1034"/>
  <c r="U263"/>
  <c r="U258" s="1"/>
  <c r="I235"/>
  <c r="I455"/>
  <c r="I223" s="1"/>
  <c r="S463"/>
  <c r="J455"/>
  <c r="J223" s="1"/>
  <c r="G455"/>
  <c r="G223" s="1"/>
  <c r="T223"/>
  <c r="T748"/>
  <c r="T469" s="1"/>
  <c r="T242" s="1"/>
  <c r="D455"/>
  <c r="D223" s="1"/>
  <c r="T463"/>
  <c r="T632"/>
  <c r="G235"/>
  <c r="G64" s="1"/>
  <c r="G65" s="1"/>
  <c r="U632"/>
  <c r="J736"/>
  <c r="S455"/>
  <c r="S223" s="1"/>
  <c r="I633"/>
  <c r="I454" s="1"/>
  <c r="I222" s="1"/>
  <c r="I643"/>
  <c r="I632" s="1"/>
  <c r="S910"/>
  <c r="S903" s="1"/>
  <c r="S904"/>
  <c r="S736" s="1"/>
  <c r="D633"/>
  <c r="D643"/>
  <c r="D632" s="1"/>
  <c r="T258"/>
  <c r="S632"/>
  <c r="S583"/>
  <c r="S579" s="1"/>
  <c r="S570" s="1"/>
  <c r="S580"/>
  <c r="U736"/>
  <c r="U454" s="1"/>
  <c r="U222" s="1"/>
  <c r="G589"/>
  <c r="G579" s="1"/>
  <c r="G570" s="1"/>
  <c r="G580"/>
  <c r="T736"/>
  <c r="T454" s="1"/>
  <c r="T222" s="1"/>
  <c r="T750"/>
  <c r="T735" s="1"/>
  <c r="S750"/>
  <c r="J633"/>
  <c r="J643"/>
  <c r="J632" s="1"/>
  <c r="D904"/>
  <c r="D736" s="1"/>
  <c r="D928"/>
  <c r="D903" s="1"/>
  <c r="D735" s="1"/>
  <c r="G910"/>
  <c r="G903" s="1"/>
  <c r="G735" s="1"/>
  <c r="G904"/>
  <c r="G736" s="1"/>
  <c r="L1138" l="1"/>
  <c r="H242"/>
  <c r="S258"/>
  <c r="S235" s="1"/>
  <c r="D235"/>
  <c r="D242"/>
  <c r="J258"/>
  <c r="J235" s="1"/>
  <c r="J242"/>
  <c r="H221"/>
  <c r="H1136" s="1"/>
  <c r="H745"/>
  <c r="H463" s="1"/>
  <c r="H235" s="1"/>
  <c r="U750"/>
  <c r="U735" s="1"/>
  <c r="U453" s="1"/>
  <c r="U221" s="1"/>
  <c r="U1136" s="1"/>
  <c r="I453"/>
  <c r="I221" s="1"/>
  <c r="I1136" s="1"/>
  <c r="U242"/>
  <c r="U235"/>
  <c r="T453"/>
  <c r="T221" s="1"/>
  <c r="T1136" s="1"/>
  <c r="G166"/>
  <c r="G187" s="1"/>
  <c r="G186" s="1"/>
  <c r="G185" s="1"/>
  <c r="J454"/>
  <c r="J222" s="1"/>
  <c r="T235"/>
  <c r="D454"/>
  <c r="D222" s="1"/>
  <c r="S735"/>
  <c r="S453" s="1"/>
  <c r="S221" s="1"/>
  <c r="S1136" s="1"/>
  <c r="G453"/>
  <c r="G221" s="1"/>
  <c r="G1136" s="1"/>
  <c r="S454"/>
  <c r="S222" s="1"/>
  <c r="D453"/>
  <c r="D221" s="1"/>
  <c r="D1136" s="1"/>
  <c r="G454"/>
  <c r="G222" s="1"/>
  <c r="J453"/>
  <c r="J221" s="1"/>
  <c r="J1136" s="1"/>
  <c r="G164" l="1"/>
  <c r="G142" s="1"/>
  <c r="G121" s="1"/>
  <c r="J166" l="1"/>
  <c r="J187" s="1"/>
  <c r="J186" s="1"/>
  <c r="J185" s="1"/>
  <c r="J164" l="1"/>
  <c r="J142" s="1"/>
  <c r="J121" s="1"/>
  <c r="S65"/>
  <c r="S166"/>
  <c r="S164" s="1"/>
  <c r="S142" s="1"/>
  <c r="S121" s="1"/>
  <c r="S187" l="1"/>
  <c r="S186" s="1"/>
  <c r="S185" s="1"/>
</calcChain>
</file>

<file path=xl/sharedStrings.xml><?xml version="1.0" encoding="utf-8"?>
<sst xmlns="http://schemas.openxmlformats.org/spreadsheetml/2006/main" count="1796" uniqueCount="739">
  <si>
    <t>Nr. crt.</t>
  </si>
  <si>
    <t>DENUMIRE INDICATORI</t>
  </si>
  <si>
    <t>COD</t>
  </si>
  <si>
    <t>I</t>
  </si>
  <si>
    <t>II</t>
  </si>
  <si>
    <t>III</t>
  </si>
  <si>
    <t>IV</t>
  </si>
  <si>
    <t>A</t>
  </si>
  <si>
    <t>IMPOZIT PE PROFIT</t>
  </si>
  <si>
    <t xml:space="preserve">Impozit pe profit de la agentii economici </t>
  </si>
  <si>
    <t>01.02.01</t>
  </si>
  <si>
    <t>B</t>
  </si>
  <si>
    <t>COTE SI SUME DEF DIN IMPOZITUL PE VENIT</t>
  </si>
  <si>
    <t>.04.02.01</t>
  </si>
  <si>
    <t>.04.02.04</t>
  </si>
  <si>
    <t>C</t>
  </si>
  <si>
    <t>SUME DEFALCATE DIN TVA (1+2+3)</t>
  </si>
  <si>
    <t>11.02.</t>
  </si>
  <si>
    <t>11.02.01</t>
  </si>
  <si>
    <t xml:space="preserve">Sustinerea sistemului de protectie a copilului </t>
  </si>
  <si>
    <t>Camine persoane varstnice</t>
  </si>
  <si>
    <t>Fructe</t>
  </si>
  <si>
    <t>1.salarii, sporuri , indemnizatii si alte drepturi salariale</t>
  </si>
  <si>
    <t xml:space="preserve">            2.  institutii de cultura preluate</t>
  </si>
  <si>
    <t>Sume def din TVA pentru evidenta populatiei</t>
  </si>
  <si>
    <t>Sume def din TVA reprez. drepturi pt copii cu cerinte educationale speciale integrati in invatamantul de masa H.G. 904/2014</t>
  </si>
  <si>
    <t>Sume def din TVA  pentru drumuri</t>
  </si>
  <si>
    <t>11.02.05</t>
  </si>
  <si>
    <t>Sume def din TVA  pt echil bugete locale</t>
  </si>
  <si>
    <t>11.02.06</t>
  </si>
  <si>
    <t>D</t>
  </si>
  <si>
    <t>Taxe pe utilizarea bunurilor, autoriz. utiliz. bunurilor</t>
  </si>
  <si>
    <t>Impozit asupra mijloacelor de transport pers fizice</t>
  </si>
  <si>
    <t>16.02.02.01</t>
  </si>
  <si>
    <t>Impozit asupra mijloacelor de transport pers juridice</t>
  </si>
  <si>
    <t>16.02.02.02</t>
  </si>
  <si>
    <t>Taxe si tarife pt elib de licente, autorizatii de functionare</t>
  </si>
  <si>
    <t>16.02.03</t>
  </si>
  <si>
    <t>Venituri din proprietate(30.02+31.02)</t>
  </si>
  <si>
    <t>00.13</t>
  </si>
  <si>
    <t>Varsaminte din profitul net</t>
  </si>
  <si>
    <t>30.02.01</t>
  </si>
  <si>
    <t>Restituiri de fonduri din anii precedenti</t>
  </si>
  <si>
    <t>30.02.03</t>
  </si>
  <si>
    <t>Venituri din concesiuni si inchirieri</t>
  </si>
  <si>
    <t>30.02.05</t>
  </si>
  <si>
    <t>Venituri din dividende</t>
  </si>
  <si>
    <t>30.02.08</t>
  </si>
  <si>
    <t>Venituri din dobanzi</t>
  </si>
  <si>
    <t>31.02</t>
  </si>
  <si>
    <t>Alte venituri din dobanzi</t>
  </si>
  <si>
    <t>31.02.03</t>
  </si>
  <si>
    <t>Venituri din prestari servicii si alte activitati</t>
  </si>
  <si>
    <t>Contributia lunara a parintilor</t>
  </si>
  <si>
    <t>33.02.27</t>
  </si>
  <si>
    <t>Venituri din recuperarea cheltuielilor</t>
  </si>
  <si>
    <t>33.02.28</t>
  </si>
  <si>
    <t>33.02.50</t>
  </si>
  <si>
    <t>Amenzi, penalitati si confiscari</t>
  </si>
  <si>
    <t>Venituri din amenzi si alte sanctiuni</t>
  </si>
  <si>
    <t>35.02.01</t>
  </si>
  <si>
    <t>Diverse venituri</t>
  </si>
  <si>
    <t xml:space="preserve">Sume provenite din finantarea </t>
  </si>
  <si>
    <t>36.02.01</t>
  </si>
  <si>
    <t>Alte venituri</t>
  </si>
  <si>
    <t>36.02.50</t>
  </si>
  <si>
    <t>Transferuri voluntare</t>
  </si>
  <si>
    <t>Donatii si sponsorizari</t>
  </si>
  <si>
    <t>37.02.01</t>
  </si>
  <si>
    <t>37.02.03</t>
  </si>
  <si>
    <t>37.02.04</t>
  </si>
  <si>
    <t>Alte transferuri voluntare</t>
  </si>
  <si>
    <t>37.02.50</t>
  </si>
  <si>
    <t>Venituri din capital</t>
  </si>
  <si>
    <t>Venituri din valorif unor bunuri ale instit publice</t>
  </si>
  <si>
    <t>39.02.01</t>
  </si>
  <si>
    <t>Venituri din vanzarea unor bunuri dom. Privat</t>
  </si>
  <si>
    <t>39,02,07</t>
  </si>
  <si>
    <t>Incasari  din rambursarea imprumuturilor acordate</t>
  </si>
  <si>
    <t>Sume din execedentul bugetului</t>
  </si>
  <si>
    <t>E</t>
  </si>
  <si>
    <t>SUBVENTII</t>
  </si>
  <si>
    <t>.00.17</t>
  </si>
  <si>
    <t>Subventii de la bugetul de stat</t>
  </si>
  <si>
    <t xml:space="preserve">Subventii fin prog de pietruire drumuri </t>
  </si>
  <si>
    <t>42.02.09.01</t>
  </si>
  <si>
    <t>Subventii pt finantarea investitiilor in sanatate</t>
  </si>
  <si>
    <t>42.02.16</t>
  </si>
  <si>
    <t>Subv pt.fin aparatura medicala si echip comunic urgenta in sanatate</t>
  </si>
  <si>
    <t>42.02.16.01</t>
  </si>
  <si>
    <t>Subv pt fin rep capitale in sanatate</t>
  </si>
  <si>
    <t>42.02.16.02</t>
  </si>
  <si>
    <t xml:space="preserve">Subv.ptr finant altor investitii in sanatate </t>
  </si>
  <si>
    <t>42.02.16.03</t>
  </si>
  <si>
    <t>Subventii din veniturile proprii ale ministerului Sanatatii catre bug locale pt fin  investitiilor in sanatate</t>
  </si>
  <si>
    <t>42.02.18</t>
  </si>
  <si>
    <t>Asistenta in pregatirea proiectelor prin Programul  Op reg 2007-2013</t>
  </si>
  <si>
    <t>42.02.19</t>
  </si>
  <si>
    <t>Subventii pt sustinerea Proiecte FEN postaderare</t>
  </si>
  <si>
    <t>42.02.20</t>
  </si>
  <si>
    <t>Finantarea drepturilor persoanelor cu handicap</t>
  </si>
  <si>
    <t>42.02.21</t>
  </si>
  <si>
    <t>Subventii primite din Fondul de Interventie</t>
  </si>
  <si>
    <t>42.02.28</t>
  </si>
  <si>
    <t>Subventii din bugetul de stat pentru finantarea sanatatii</t>
  </si>
  <si>
    <t>42.02.41</t>
  </si>
  <si>
    <t>Subventii primite in cadrul prog FEGA  implementate de APIA</t>
  </si>
  <si>
    <t>42.02.42</t>
  </si>
  <si>
    <t>Subventii pt finantarea UAMS</t>
  </si>
  <si>
    <t>42.02.35</t>
  </si>
  <si>
    <t>Subventii  pentru finantarea camerelor agricole</t>
  </si>
  <si>
    <t>42.02.44</t>
  </si>
  <si>
    <t>Subventii ptr realizarea obiectivelor de inv in turism</t>
  </si>
  <si>
    <t>42.02.40</t>
  </si>
  <si>
    <t>Subventii primite de la bugetul de stat pt finantarea unor programe de interes national</t>
  </si>
  <si>
    <t>42.02.51.01</t>
  </si>
  <si>
    <t>Subventii de la bugetul de stat pt. fin. investitiilor pt. instit. publ. de asist. soc. si UAMS</t>
  </si>
  <si>
    <t>42.02.52</t>
  </si>
  <si>
    <t>Subventii primite de la bugetul de stat pt finantarea subprogramului infrastructura la nivel judetean</t>
  </si>
  <si>
    <t>42.02.59</t>
  </si>
  <si>
    <t>Sume alocate din bugetul de stat aferente corectiilor financiare</t>
  </si>
  <si>
    <t>42.02.62</t>
  </si>
  <si>
    <t>Finantarea Programului National de Dezvoltare Locala</t>
  </si>
  <si>
    <t>42.02.65</t>
  </si>
  <si>
    <t>F</t>
  </si>
  <si>
    <t>Sume primite in contul platilor efectuate in anul curent</t>
  </si>
  <si>
    <t>Sume primite in contul platilor efectuate in anii anteriori</t>
  </si>
  <si>
    <t>Prefinantare</t>
  </si>
  <si>
    <t>45.02.02.02</t>
  </si>
  <si>
    <t xml:space="preserve">PCF PER 2007-2013 </t>
  </si>
  <si>
    <t>Sume primite in contul platilor efectuate in anii curent</t>
  </si>
  <si>
    <t>PROGRAMUL NORVEGIAN</t>
  </si>
  <si>
    <t>45.02.18</t>
  </si>
  <si>
    <t>VENITURI - SECTIUNEA FUNCTIONARE</t>
  </si>
  <si>
    <t xml:space="preserve">Cote defalcate din impozitul pe venit </t>
  </si>
  <si>
    <t xml:space="preserve">Sume din impozit pe venit  pentru echilibrare </t>
  </si>
  <si>
    <t>Sume def din TVA pt fin chelt descentraliz</t>
  </si>
  <si>
    <t>Invatamant special</t>
  </si>
  <si>
    <t>Cultura si culte din care:</t>
  </si>
  <si>
    <t xml:space="preserve">               personal neclerical</t>
  </si>
  <si>
    <t xml:space="preserve">               institutii de cultura preluate</t>
  </si>
  <si>
    <t>Taxe pe utilizarea bunurilor, autorizarea uiliz bunurilor</t>
  </si>
  <si>
    <t>Taxe si tarife pt elib de licente, autorizatii de funct</t>
  </si>
  <si>
    <t>Venituri din aplicarea prescriptiei extinctive</t>
  </si>
  <si>
    <t>Varsaminte din sectiunea de functionare</t>
  </si>
  <si>
    <t>Incasari din ramb imprum acordate</t>
  </si>
  <si>
    <t>Subventii pt fin UMS</t>
  </si>
  <si>
    <t>Subventii primite de la bugetul de stat pt finantarea unor programe de interes national destinate sectiunii de functionare a bugetului local</t>
  </si>
  <si>
    <t>VENITURI - SECTIUNEA  DE DEZVOLTARE</t>
  </si>
  <si>
    <t>Transferuri voluntare, altele decat subventiile</t>
  </si>
  <si>
    <t>37.02</t>
  </si>
  <si>
    <t>42.02</t>
  </si>
  <si>
    <t>Subventii pt sustinerea Proiectelor FEN postaderare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</si>
  <si>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</si>
  <si>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</si>
  <si>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</si>
  <si>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</si>
  <si>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III. Dobanzi aferente datoriei publice interne</t>
  </si>
  <si>
    <t>V. Fond de rezerva bugetara</t>
  </si>
  <si>
    <t>VI. Transferuri catre institutii publice</t>
  </si>
  <si>
    <t>VII Alte transferuri interne</t>
  </si>
  <si>
    <t>VIII Asistenta sociala</t>
  </si>
  <si>
    <t xml:space="preserve">IX Alte cheltuieli </t>
  </si>
  <si>
    <t>Operatiuni financiare</t>
  </si>
  <si>
    <t>Plati efectuate in anii precedenti si recuperate in anul curent</t>
  </si>
  <si>
    <t>SECTIUNEA DE DEZVOLTARE</t>
  </si>
  <si>
    <t xml:space="preserve">Transferuri intre unitati ale administratiei publice </t>
  </si>
  <si>
    <t>Transferuri pentru finantarea investitiilor la spitale</t>
  </si>
  <si>
    <t>51.02.12</t>
  </si>
  <si>
    <t>Transferuri pt fin chelt de capital din domeniul sanatatii</t>
  </si>
  <si>
    <t>51.02.28</t>
  </si>
  <si>
    <t>Alte transferuri  de capital catre institutii publice</t>
  </si>
  <si>
    <t>51.02.29</t>
  </si>
  <si>
    <t xml:space="preserve">Alte transferuri </t>
  </si>
  <si>
    <t>Proiecte cu finantare FEN</t>
  </si>
  <si>
    <t>X Cheltuieli de capital</t>
  </si>
  <si>
    <t>V. fond de rezerva bugetara</t>
  </si>
  <si>
    <t>Ajutoare sociale in numerar</t>
  </si>
  <si>
    <t>Alte cheltuieli</t>
  </si>
  <si>
    <t>VI Transferuri intre unitati ale admin. Publice</t>
  </si>
  <si>
    <t>Alte transf. de capital catre institutii publice</t>
  </si>
  <si>
    <t>Transferuri interne</t>
  </si>
  <si>
    <t>AUTORITATI PUBLICE SI ACTIUNI EXTERNE</t>
  </si>
  <si>
    <t>51.02.01.03</t>
  </si>
  <si>
    <t>Alte transferuri curente interne</t>
  </si>
  <si>
    <t>55.01.18</t>
  </si>
  <si>
    <t>57.02</t>
  </si>
  <si>
    <t xml:space="preserve">Transferuri de capital   </t>
  </si>
  <si>
    <t>51.02</t>
  </si>
  <si>
    <t>Transferuri din bugetele proprii ale judetelor catre bugetele locale in vederea asig fd necesare implementarii proiectelor finantate din FEN</t>
  </si>
  <si>
    <t>51.02.45</t>
  </si>
  <si>
    <t>55.01</t>
  </si>
  <si>
    <t>Programe de dezvoltare</t>
  </si>
  <si>
    <t>55.01.13</t>
  </si>
  <si>
    <t>X. Cheltuieli de capital</t>
  </si>
  <si>
    <t>Constructii</t>
  </si>
  <si>
    <t>71.01.01</t>
  </si>
  <si>
    <t>Masini, echipamente si mijloace de transport</t>
  </si>
  <si>
    <t>71.01.02</t>
  </si>
  <si>
    <t>Mobilier, aparatura birotica</t>
  </si>
  <si>
    <t>71.01.03</t>
  </si>
  <si>
    <t>Alte active fixe</t>
  </si>
  <si>
    <t>71.01.30</t>
  </si>
  <si>
    <t>Reparatii capitale</t>
  </si>
  <si>
    <t>71.03</t>
  </si>
  <si>
    <t xml:space="preserve">Finanatare nationala </t>
  </si>
  <si>
    <t>56.01.01</t>
  </si>
  <si>
    <t>Finantare de la UE</t>
  </si>
  <si>
    <t>56.01.02</t>
  </si>
  <si>
    <t>56.01.03</t>
  </si>
  <si>
    <t>Cheltuieli neeligibile</t>
  </si>
  <si>
    <t>54.02</t>
  </si>
  <si>
    <t>2.a</t>
  </si>
  <si>
    <t xml:space="preserve"> Fond de rezerva bugetara la dispozitia autoritatilor locale</t>
  </si>
  <si>
    <t>50.04</t>
  </si>
  <si>
    <t>2.b</t>
  </si>
  <si>
    <t>54.02.10</t>
  </si>
  <si>
    <t>51.01.01</t>
  </si>
  <si>
    <t xml:space="preserve"> Alte  transferuri de capital catre institutii publice</t>
  </si>
  <si>
    <t>2.c</t>
  </si>
  <si>
    <t xml:space="preserve">   RAMBURSARI DE CREDITE</t>
  </si>
  <si>
    <t>54.02.50</t>
  </si>
  <si>
    <t>XIII. Rambursari de credite</t>
  </si>
  <si>
    <t xml:space="preserve">Rambursare imprumuturi interne </t>
  </si>
  <si>
    <t>81.02.05</t>
  </si>
  <si>
    <t>Rambursare imprumuturi externe</t>
  </si>
  <si>
    <t>81.01.05</t>
  </si>
  <si>
    <t>2.d</t>
  </si>
  <si>
    <t>ALTE SERVICII PUBLICE GENERALE - ALEGERI</t>
  </si>
  <si>
    <t>CAPITAL</t>
  </si>
  <si>
    <t>2.e</t>
  </si>
  <si>
    <t xml:space="preserve"> TRANFERURI CATRE UNITATILE IN EXTREMA DIFICULTATE</t>
  </si>
  <si>
    <t>Transferuri din bugetele consiliilor locale şi judeţene pentru acordarea unor ajutoare către unităţile administrativ-teritoriale în situaţii de extremă dificultate</t>
  </si>
  <si>
    <t>51.01.24</t>
  </si>
  <si>
    <t xml:space="preserve">TRANZACTII PRIVIND DATORIA PUBLICA </t>
  </si>
  <si>
    <t>55.02</t>
  </si>
  <si>
    <t>20.24.02</t>
  </si>
  <si>
    <t xml:space="preserve">III. Dobanzi aferente datoriei publice </t>
  </si>
  <si>
    <t xml:space="preserve">         Dobanzi aferente datoriei publice interne</t>
  </si>
  <si>
    <t>30.01.01</t>
  </si>
  <si>
    <t xml:space="preserve">         Dobanzi aferente datoriei publice externe</t>
  </si>
  <si>
    <t>Alte cheltuieli - ajutoare calamitati</t>
  </si>
  <si>
    <t>59.02</t>
  </si>
  <si>
    <t>1.a</t>
  </si>
  <si>
    <t>CENTRUL MILITAR JUDETEAN ARGES</t>
  </si>
  <si>
    <t>60.02.02</t>
  </si>
  <si>
    <t>Masini , echipamente si mijloace de transport</t>
  </si>
  <si>
    <t>1.b</t>
  </si>
  <si>
    <t>STRUCTURA TERITORIALA PENTRU PROBLEME SPECIALE ARGES</t>
  </si>
  <si>
    <t>INSPECTORATUL GENERAL PENTRU SITUATII DE URGENTA</t>
  </si>
  <si>
    <t>61.02.05.02</t>
  </si>
  <si>
    <t>VI Transferuri</t>
  </si>
  <si>
    <t>85.01</t>
  </si>
  <si>
    <t>Transferuri de capital - pt fin investitiilor la spitale</t>
  </si>
  <si>
    <t>Alte transferuri</t>
  </si>
  <si>
    <t>65.02</t>
  </si>
  <si>
    <t>1.1.</t>
  </si>
  <si>
    <t>65.02.07.04</t>
  </si>
  <si>
    <t>Asistenta sociala</t>
  </si>
  <si>
    <t>1.1.a</t>
  </si>
  <si>
    <t>CENTRUL SCOLAR DE EDUCATIE INCLUZIVA "SF. FILOFTEIA" STEFANESTI</t>
  </si>
  <si>
    <t>65.02.07.04.01</t>
  </si>
  <si>
    <t xml:space="preserve">Ajutoare sociale </t>
  </si>
  <si>
    <t>1.1.b</t>
  </si>
  <si>
    <t>CENTRUL SCOLAR DE EDUCATIE INCLUZIVA "SF. NICOLAE" CAMPULUNG</t>
  </si>
  <si>
    <t>65.02.07.04.02</t>
  </si>
  <si>
    <t>1.1.c</t>
  </si>
  <si>
    <t>65.02.07.04.03</t>
  </si>
  <si>
    <t>Asistenta sociala- Ajutoare sociale in numerar</t>
  </si>
  <si>
    <t>57.02.01</t>
  </si>
  <si>
    <t xml:space="preserve">X. Cheltuieli de capital  </t>
  </si>
  <si>
    <t>1.1.d</t>
  </si>
  <si>
    <t>GRADINITA SPECIALA " SF. ELENA" PITESTI</t>
  </si>
  <si>
    <t>65.02.07.04.04</t>
  </si>
  <si>
    <t>1.1.e</t>
  </si>
  <si>
    <t>1.2.</t>
  </si>
  <si>
    <t>65.02.50</t>
  </si>
  <si>
    <t>Transferuri de la bugetul judetului catre bugetele locale pentru plata drepturilor de care beneficiaza copiii cu cerinte educationale speciale integrati in invatamantul de masa</t>
  </si>
  <si>
    <t>51.01.64</t>
  </si>
  <si>
    <t>Ajutoare sociale in natura</t>
  </si>
  <si>
    <t>57.02.02</t>
  </si>
  <si>
    <t>1.1.f</t>
  </si>
  <si>
    <t>65.02.11.30</t>
  </si>
  <si>
    <t>2.1.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</si>
  <si>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</si>
  <si>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</si>
  <si>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</si>
  <si>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</si>
  <si>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</si>
  <si>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</si>
  <si>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2.2.</t>
  </si>
  <si>
    <t>66.02.06.03</t>
  </si>
  <si>
    <t>VI Transferuri pt fin UMS</t>
  </si>
  <si>
    <t>51.01.39</t>
  </si>
  <si>
    <t>2.2.a</t>
  </si>
  <si>
    <t>UNITATEA DE ASISTENTA MEDICO-SOCIALA CALINESTI</t>
  </si>
  <si>
    <t>2.2.b</t>
  </si>
  <si>
    <t>UNITATEA DE ASISTENTA MEDICO-SOCIALA DEDULESTI</t>
  </si>
  <si>
    <t>2.2.c</t>
  </si>
  <si>
    <t>UNITATEA DE ASISTENTA MEDICO-SOCIALA  SUICI</t>
  </si>
  <si>
    <t>2.2.d</t>
  </si>
  <si>
    <t xml:space="preserve">UNITATEA DE ASISTENTA MEDICO-SOCIALA RUCAR </t>
  </si>
  <si>
    <t>2.2.e</t>
  </si>
  <si>
    <t>UNITATEA DE ASISTENTA MEDICO-SOCIALA  DOMNESTI</t>
  </si>
  <si>
    <t>67.02</t>
  </si>
  <si>
    <t>3.1.</t>
  </si>
  <si>
    <t>67.02.03</t>
  </si>
  <si>
    <t>56.16.03</t>
  </si>
  <si>
    <t>3.2.</t>
  </si>
  <si>
    <t>MUZEUL JUDETEAN ARGES</t>
  </si>
  <si>
    <t>67.02.03.02.01</t>
  </si>
  <si>
    <t>PROIECT " Muzeul Judetean Arges - mostenire culturala, istorie si continuitate</t>
  </si>
  <si>
    <t>67.02.03.02</t>
  </si>
  <si>
    <t>Finantare nationala</t>
  </si>
  <si>
    <t>PROIECT " Castru Jidova simbol al Romei la granita imperiu si lumea barbara"</t>
  </si>
  <si>
    <t>67.02.50</t>
  </si>
  <si>
    <t>Finantare UE</t>
  </si>
  <si>
    <t>MUZEUL VITICULTURII SI POMICULTURII GOLESTI</t>
  </si>
  <si>
    <t>67.02.03.02.02</t>
  </si>
  <si>
    <t>TEATRUL "AL. DAVILA" PITESTI</t>
  </si>
  <si>
    <t>67.02.03.04</t>
  </si>
  <si>
    <t>SCOALA POPULARA DE ARTE SI MESERII PITESTI</t>
  </si>
  <si>
    <t>67.02.03.05</t>
  </si>
  <si>
    <t>67.02.03.08</t>
  </si>
  <si>
    <t>PERSONAL NECLERICAL</t>
  </si>
  <si>
    <t>67.02.50.02</t>
  </si>
  <si>
    <t>IX Alte cheltuieli - contrib salariz pers neclerical</t>
  </si>
  <si>
    <t>67.02.50.01</t>
  </si>
  <si>
    <t>Programe Phare si alte progr. cu finantare neramb.</t>
  </si>
  <si>
    <t>55.01.08</t>
  </si>
  <si>
    <t>SERVICII RECREATIVE SI SPORTIVE</t>
  </si>
  <si>
    <t>67.02.05.02</t>
  </si>
  <si>
    <t>68.02.06</t>
  </si>
  <si>
    <t>Ajutoare sociale in natura -tichete</t>
  </si>
  <si>
    <t xml:space="preserve">Alte cheltuieli </t>
  </si>
  <si>
    <t>Drepturi persoane cu handicap</t>
  </si>
  <si>
    <t xml:space="preserve">        Cheltuieli materiale - drepturi pers handicap</t>
  </si>
  <si>
    <t xml:space="preserve">        Asist. Soc.- drepturi pers cu handicap</t>
  </si>
  <si>
    <t xml:space="preserve">Ajutoare sociale in natura </t>
  </si>
  <si>
    <t>Fnantare nationala</t>
  </si>
  <si>
    <t>56.02</t>
  </si>
  <si>
    <t>Mobilier , aparatura birotica</t>
  </si>
  <si>
    <t>4.2.</t>
  </si>
  <si>
    <t>68.02.04</t>
  </si>
  <si>
    <t>4.2.a</t>
  </si>
  <si>
    <t>CENTRUL DE INGRIJIRE SI ASISTENTA PITESTI</t>
  </si>
  <si>
    <t>68.02.04.01</t>
  </si>
  <si>
    <t>4.2.b</t>
  </si>
  <si>
    <t>CENTRUL DE INGRIJIRE SI ASISTENTA BASCOVELE</t>
  </si>
  <si>
    <t>68.02.04.02</t>
  </si>
  <si>
    <t>4.2.c.1</t>
  </si>
  <si>
    <t>CENTRUL DE INTEGRARE PRIN TERAPIE OCUPATIONALA TIGVENI</t>
  </si>
  <si>
    <t>68.02.05.02.01</t>
  </si>
  <si>
    <t>COMPLEXUL DE LOCUINTE PROTEJATE TIGVENI</t>
  </si>
  <si>
    <t>COMPLEXUL DE SERVICII PENTRU PERSOANE CU DIZABILITATI VULTURESTI</t>
  </si>
  <si>
    <t>68.02.05.02.03</t>
  </si>
  <si>
    <t>CENTRUL VULTURESTI</t>
  </si>
  <si>
    <t>68.02.05.02.04</t>
  </si>
  <si>
    <t>4.2.e</t>
  </si>
  <si>
    <t>CAMIN PERSOANE VARSTNICE MOZACENI</t>
  </si>
  <si>
    <t>4.3.</t>
  </si>
  <si>
    <t>4.3.a</t>
  </si>
  <si>
    <t>4.3.b</t>
  </si>
  <si>
    <t>4.3.c</t>
  </si>
  <si>
    <t>UNITATEA DE ASISTENTA MEDICO-SOCIALA SUICI</t>
  </si>
  <si>
    <t>68.02.50.03</t>
  </si>
  <si>
    <t>4.3.d</t>
  </si>
  <si>
    <t>UNITATEA DE ASISTENTA MEDICO-SOCIALA RUCAR</t>
  </si>
  <si>
    <t>4.3.e</t>
  </si>
  <si>
    <t>UNITATEA DE ASISTENTA MEDICO-SOCIALA DOMNESTI</t>
  </si>
  <si>
    <t>4.4.</t>
  </si>
  <si>
    <t>68.02.50.04</t>
  </si>
  <si>
    <t>SERVICIUL PUBLIC JUDETEAN SALVAMONT ARGES</t>
  </si>
  <si>
    <t>70.02.50</t>
  </si>
  <si>
    <t>PROIECT "Zona montana a Argesului  si Muscelului diversitate si unicitate in Romania"</t>
  </si>
  <si>
    <t>1.3.</t>
  </si>
  <si>
    <t>PROIECT "Extindere si reabilitare  infrastructura de apa si apa uzata"</t>
  </si>
  <si>
    <t>70.02.05.01</t>
  </si>
  <si>
    <t>1.4.</t>
  </si>
  <si>
    <t>20.30.30</t>
  </si>
  <si>
    <t>Cheltuieli materiale</t>
  </si>
  <si>
    <t>Sume FEN postaderare</t>
  </si>
  <si>
    <t>COLECTARE , TRATARE  DESEURI - UIP</t>
  </si>
  <si>
    <t>74.02.05.02</t>
  </si>
  <si>
    <t>MANAGEMENTUL INTEGRAT AL DESEURILOR SOLIDE JUDETUL ARGES</t>
  </si>
  <si>
    <t>Finanatare de la UE</t>
  </si>
  <si>
    <t xml:space="preserve">Cheltuieli neeligibile </t>
  </si>
  <si>
    <t>V</t>
  </si>
  <si>
    <t>Transferuri curente</t>
  </si>
  <si>
    <t>VII ALTE TRANSFERURI - Progr de dezvoltare</t>
  </si>
  <si>
    <t>Transferuri din bugetul local către asociaţiile de dezvoltare intercomunitară</t>
  </si>
  <si>
    <t>55.01.42</t>
  </si>
  <si>
    <t xml:space="preserve"> II.  cheltuieli materiale</t>
  </si>
  <si>
    <t>PROGRAME DE DEZVOLTARE REGIONALA</t>
  </si>
  <si>
    <t>80.02.01.10</t>
  </si>
  <si>
    <t>80.02.01.30</t>
  </si>
  <si>
    <t>20.30.02</t>
  </si>
  <si>
    <t>PREVENIRE SI COMBATERE INUNDATII</t>
  </si>
  <si>
    <t>80.02.01.06</t>
  </si>
  <si>
    <t>Alte cheltuieli  - alte ajutoare</t>
  </si>
  <si>
    <t>AGRICULTURA SI SILVICULTURA</t>
  </si>
  <si>
    <t>Alte cheltuieli in domeniul agriculturii</t>
  </si>
  <si>
    <t>83.02.03</t>
  </si>
  <si>
    <t>CAMERA AGRICOLA ARGES</t>
  </si>
  <si>
    <t>83.02.03.07</t>
  </si>
  <si>
    <t>Transferuri  din bugetele locale pentru finantarea camerelor agricole</t>
  </si>
  <si>
    <t>51.01.49</t>
  </si>
  <si>
    <t xml:space="preserve">TRANSPORTURI </t>
  </si>
  <si>
    <t xml:space="preserve">DRUMURI SI PODURI JUDETENE </t>
  </si>
  <si>
    <t>84.02.03.01</t>
  </si>
  <si>
    <t>CHELTUIELI DE CAPITAL  - INVESTITII</t>
  </si>
  <si>
    <t>87,02,04</t>
  </si>
  <si>
    <t>ProiecteFEN</t>
  </si>
  <si>
    <t xml:space="preserve"> DEFICIT</t>
  </si>
  <si>
    <t>Proiect "Sprijin pentru pregatirea aplicatiei de finantare si a documentatiiilor de atribuire  pentru Proiectul Regional de Dezvoltare a Infrastructurii de apa si apa uzata  din judetul Arges in perioada 2014-2020"</t>
  </si>
  <si>
    <t xml:space="preserve">Programe din Fondul European de Dezvoltare Regionala </t>
  </si>
  <si>
    <t>58,01,03</t>
  </si>
  <si>
    <t xml:space="preserve">Contributia de intretinere a persoanelor asitate </t>
  </si>
  <si>
    <t>33,02,13</t>
  </si>
  <si>
    <t>PROIECT "Restaurarea galeriei de Arta"Rudolf Schweitzer-Cumpana"-Consolidarea, protejarea si valorificarea patrimoniului cultural</t>
  </si>
  <si>
    <t>PROIECT "Restaurarea Muzeului Judetean Arges- Consolidarea, protejarea  si valorificarea patrimoniului cultural"</t>
  </si>
  <si>
    <t>PROIECT "Conservarea si consolidarea Cetatii Poienari"</t>
  </si>
  <si>
    <t xml:space="preserve">PROIECT "Cresterea eficientei energetice a Spitalului de Recuperare Bradet </t>
  </si>
  <si>
    <t>PROIECT "Modernizarea drumului judetean DJ504 lim Jud Teleorman-Popesti-Izvoru-Recea-Cornatel-Vulpesti(DN 65A),km 110+700-136+695, L=25,995 km, pe raza Com. Popesti, Izvoru, Recea, Buzoiesti, Jud Arges</t>
  </si>
  <si>
    <t xml:space="preserve">Despagubiri civile </t>
  </si>
  <si>
    <t xml:space="preserve"> Servicii de expertiza tehnica structurala, studii de teren, audit energetic, DALI/SF, documentatii, avize solicitate  prin Certificat de Urbanism pentru obiectivul "Extindere modernizare si dotare spatii Urgenta Spitalul de Pediatrie  Pitesti</t>
  </si>
  <si>
    <t xml:space="preserve"> Servicii de expertiza tehnica structurala, studii de teren, audit energetic, DALI/SF, documentatii, avize solicitate  prin Certificat de Urbanism pentru obiectivul"Extindere si dotare spatii Urgenta si amenajari incinta Spitalul de Urgenta  Pitesti</t>
  </si>
  <si>
    <t xml:space="preserve">SF Extindere spatiu  Ambulatoriu integrat al Spitalului Judetean de Urgenta Pitesti precum si dotarea acestuia </t>
  </si>
  <si>
    <t>SFExtindere, modernizarea si dotarea  Ambulatoriului Integrat al spitalului cu componentele structurale Centrul de Sanatate Mintala si Laboratorul de recuperare, medicina fizica si balneologie (baza de tratament)</t>
  </si>
  <si>
    <t>Sume def din TVA pentru finantarea cheltuielilor descentralizate  :</t>
  </si>
  <si>
    <t>hotarari judecatoresti</t>
  </si>
  <si>
    <t xml:space="preserve">       Drepturi copii cu cerinte educationale speciale care frecventeaza invatamantul special </t>
  </si>
  <si>
    <t xml:space="preserve">ASOCIATIA DE DEZVOLTARE INTERCOMUNITARA MOLIVISU - </t>
  </si>
  <si>
    <t xml:space="preserve">ALTE ACTIUNI ECONOMICE </t>
  </si>
  <si>
    <t xml:space="preserve">Servicii de expertiza tehnica structurala , studii de teren SF , documentatii, avize solicitate prin Certificatul de Urbanism pentru obiectivul de investitii Cale de acces mecanizata Cetatea Poienari </t>
  </si>
  <si>
    <t>4.2.d</t>
  </si>
  <si>
    <t>4.2.f</t>
  </si>
  <si>
    <t>4.2.g</t>
  </si>
  <si>
    <t>4.2.h</t>
  </si>
  <si>
    <t>SUME PRIMITE DE LA UE /ALTI DONATORI IN CONTUL PLATILOR EFECTUATE SI PREFINANTARI AFERENTE CADRULUI FINANCIAR 2014-2020</t>
  </si>
  <si>
    <t>48.02.01.01</t>
  </si>
  <si>
    <t>48.02.01.02</t>
  </si>
  <si>
    <t>48.02.01.03</t>
  </si>
  <si>
    <t>48.02.01</t>
  </si>
  <si>
    <t>48.02</t>
  </si>
  <si>
    <t>Proiecte cu finantare FEN aferente cadrului financiar 2014-2020</t>
  </si>
  <si>
    <t xml:space="preserve">Finantare externa nerambursabila </t>
  </si>
  <si>
    <t>58.01.02</t>
  </si>
  <si>
    <t>58.01.03</t>
  </si>
  <si>
    <t>SF + PT - Marirea capacitatii sistemului de alimentare cu apa in Comuna Cuca si Moraresti</t>
  </si>
  <si>
    <t xml:space="preserve">Expertiza tehnica si PT pentru reamplasarea punctului termic si a instalatiilor aferente existente - centrul de Radioterapie - Spitalul Judetean de Urgenta </t>
  </si>
  <si>
    <t xml:space="preserve">CENTRUL   CULTURAL JUDETEAN ARGES </t>
  </si>
  <si>
    <t xml:space="preserve">                alte cheltuieli</t>
  </si>
  <si>
    <t xml:space="preserve">                 alte cheltuieli</t>
  </si>
  <si>
    <t xml:space="preserve">Centrele pentru persoane adulte cu handicap </t>
  </si>
  <si>
    <t xml:space="preserve">Programul pentru scoli  al Romaniei </t>
  </si>
  <si>
    <t>.3.6</t>
  </si>
  <si>
    <t>.3.7</t>
  </si>
  <si>
    <t>.3.8</t>
  </si>
  <si>
    <t>.3.9</t>
  </si>
  <si>
    <t>.3.10</t>
  </si>
  <si>
    <t>.3.11</t>
  </si>
  <si>
    <t>.2.1</t>
  </si>
  <si>
    <t>.2.2</t>
  </si>
  <si>
    <t>.3.1</t>
  </si>
  <si>
    <t xml:space="preserve"> Cheltuieli de capital - Total, din care:</t>
  </si>
  <si>
    <t xml:space="preserve">  ALTE CHELTUIELI - PROGRAMUL PENTRU SCOLI AL ROMANIEI </t>
  </si>
  <si>
    <t xml:space="preserve">      Cheltuieli cu bunuri si servicii</t>
  </si>
  <si>
    <r>
      <t xml:space="preserve">                         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 xml:space="preserve"> PARTEA I SERVICII PUBLICE  GENERALE (1+2+3)</t>
    </r>
    <r>
      <rPr>
        <b/>
        <sz val="11"/>
        <rFont val="Times New Roman"/>
        <family val="1"/>
        <charset val="238"/>
      </rPr>
      <t xml:space="preserve"> </t>
    </r>
  </si>
  <si>
    <r>
      <t xml:space="preserve">sume pentru aplicarea Legii nr. </t>
    </r>
    <r>
      <rPr>
        <b/>
        <sz val="11"/>
        <rFont val="Times New Roman"/>
        <family val="1"/>
        <charset val="238"/>
      </rPr>
      <t>85/2016 (hotarari judecatoresti)</t>
    </r>
  </si>
  <si>
    <t>Invatamant special , din care :</t>
  </si>
  <si>
    <t xml:space="preserve"> DIRECTIA GENERALA DE ASISTENTA SOCIALA SI PROTECTIA COPILULUI ARGES</t>
  </si>
  <si>
    <t>.4.1.1</t>
  </si>
  <si>
    <t>.4.1.2</t>
  </si>
  <si>
    <t>ALTE CHELTUIELI PENTRU ACTIUNI GENERALE ECONOMICE</t>
  </si>
  <si>
    <t>71,01,02</t>
  </si>
  <si>
    <t xml:space="preserve">Alte chelt </t>
  </si>
  <si>
    <t xml:space="preserve">          Finantare nationala</t>
  </si>
  <si>
    <t>58.01.01</t>
  </si>
  <si>
    <t xml:space="preserve">          Fonduri externe nerambursabile</t>
  </si>
  <si>
    <t xml:space="preserve">         Cofinantare si chelt neeligibile</t>
  </si>
  <si>
    <t>PROIECT "Cresterea eficientei energetice a Palatului Administrativ, Pitesti Piata Vasile Milea nr. 1, Jud Arges</t>
  </si>
  <si>
    <t>PROIECT " Certificarea activitatilor Consiliului Judetean Arges si dezvoltarea abilitatilor personalului in concordanta cu prevederile SCAP  (PROGRAMUL Operational Capacitate Administrativa )</t>
  </si>
  <si>
    <t>PNDL I</t>
  </si>
  <si>
    <t>PNDL II</t>
  </si>
  <si>
    <t xml:space="preserve">ALTE OBIECTIVE </t>
  </si>
  <si>
    <t>PNDL II Consolidare si Reabilitare Spital Judetean De Urgenta Pitesti</t>
  </si>
  <si>
    <t>Subventii pt sustinerea Proiecte FEN postaderare AFERENTE 2014-2020</t>
  </si>
  <si>
    <t>42.02.69</t>
  </si>
  <si>
    <t>58.02.01</t>
  </si>
  <si>
    <t>58.02.02</t>
  </si>
  <si>
    <t>58.02.03</t>
  </si>
  <si>
    <t xml:space="preserve">Subventii pentru realizarea activitatii de colectare transport depozitare si neutralizare a deseurilor de origine animala </t>
  </si>
  <si>
    <t>42.02.73</t>
  </si>
  <si>
    <t xml:space="preserve">ALTE SUME PRIMITE DE LA UNIUNEA EUROPEANA </t>
  </si>
  <si>
    <t>46.02</t>
  </si>
  <si>
    <t>48.02.02</t>
  </si>
  <si>
    <t>48.02.02.01</t>
  </si>
  <si>
    <t>48.02.02.02</t>
  </si>
  <si>
    <t>48.02.02.03</t>
  </si>
  <si>
    <t>48.02.15</t>
  </si>
  <si>
    <t>48.02.15.01</t>
  </si>
  <si>
    <t>48.02.15.02</t>
  </si>
  <si>
    <t>48.02.15.03</t>
  </si>
  <si>
    <t>PROIECT " Imbunatatirea accesului populatiei din judetele Arges, Teleorman si Calarasi la servicii medicale de urgenta "</t>
  </si>
  <si>
    <t>PROIECT " Asigurarea accesului la servicii de sanatate in regim ambulatoriu pentru populatia judetelor  Arges, Teleorman si Calarasi"</t>
  </si>
  <si>
    <t xml:space="preserve">PROIECT "TEAM-UP: Progres in calitatea ingrijirii alternative a copiilor </t>
  </si>
  <si>
    <t>58.15.01</t>
  </si>
  <si>
    <t>58.15.02</t>
  </si>
  <si>
    <t>58.15.03</t>
  </si>
  <si>
    <t>PROIECT " Alternative for Social Suport Inspiring Transformation" ASSIST- 785710</t>
  </si>
  <si>
    <t>plati efectuate in anii precedenti si recuperate in anul curen85,01</t>
  </si>
  <si>
    <t>Plati</t>
  </si>
  <si>
    <t>Plati efectuate in anii precedenti</t>
  </si>
  <si>
    <t>57.02,01</t>
  </si>
  <si>
    <t>PROIECT "Extindere, modernizare si dotare spatii urgenta  Spitalul de Pediatrie Pitesti"</t>
  </si>
  <si>
    <t xml:space="preserve">FONDUL EUROPEAN DE DEZVOLTARE REGIONALA </t>
  </si>
  <si>
    <t xml:space="preserve">FONDUL SOCIAL EUROPEAN </t>
  </si>
  <si>
    <t>58.02</t>
  </si>
  <si>
    <t>42,02,73</t>
  </si>
  <si>
    <t>SPITALUL JUDETEAN DE URGENTA PITESTI</t>
  </si>
  <si>
    <t>SPITALUL DE PEDIATRIE PITESTI</t>
  </si>
  <si>
    <t>COMPLEXUL DE LOCUINTE PROTEJATE BUZOESTI</t>
  </si>
  <si>
    <t xml:space="preserve">Contributia de intretinere a persoanelor asistate </t>
  </si>
  <si>
    <t>PROIECT "Complex de 3 Locuinte protejate si centru  de zi, Comuna Babana, sat Lupueni, Judetul Arges"</t>
  </si>
  <si>
    <t>PROIECT "Complex de 4 Locuinte protejate si centru  de zi, Comuna Tigveni, sat Barsestii de Jos, Judetul Arges"</t>
  </si>
  <si>
    <t>PROIECT "Complex de 4 Locuinte protejate si centru  de zi, Comuna Tigveni, sat Balilesti, Judetul Arges"</t>
  </si>
  <si>
    <t>PROIECT "Complex de 4 Locuinte protejate si centru  de zi, Comuna Ciofrangeni, sat Ciofrangeni, Judetul Arges"</t>
  </si>
  <si>
    <t xml:space="preserve">X. Cheltuieli de capital </t>
  </si>
  <si>
    <t xml:space="preserve"> Fondul European de Dezvoltare Regională (FEDR)  </t>
  </si>
  <si>
    <t>Fondul Social European (FSE)</t>
  </si>
  <si>
    <t>Alte programe comunitare finantate in perioada 2014-2020(APC)</t>
  </si>
  <si>
    <t>PROIECT "Modernizarea drumului judetean DJ 503 lim. Jud. Dambovita- Slobozia - Rociu - Oarja - Catanele  (DJ702 G - KM 3+824), KM 98+000 -140+034 (42,034 KM) , Jud Arges</t>
  </si>
  <si>
    <t>.2.3</t>
  </si>
  <si>
    <t xml:space="preserve">Finantare nationala </t>
  </si>
  <si>
    <t xml:space="preserve">COLECTARE  TRATARE   SI DISTRUGERE DESEURI </t>
  </si>
  <si>
    <t>.3.3</t>
  </si>
  <si>
    <t>.3.4.</t>
  </si>
  <si>
    <t>.3.5</t>
  </si>
  <si>
    <t>PROIECT "Extindere si dotare spatii urgenta si amenajari incinta  Spitalul  Judetean de Urgenta Pitesti"</t>
  </si>
  <si>
    <t>EXECUTIA</t>
  </si>
  <si>
    <t>SPITALE GENERALE(2.3.a+2.3.b)</t>
  </si>
  <si>
    <t>66.02.06.01</t>
  </si>
  <si>
    <t>2.3.a</t>
  </si>
  <si>
    <t>Transferuri din bugetele locale pentru finantarea 
cheltuielilor de capital din domeniul sanatatii</t>
  </si>
  <si>
    <t>2.3.b</t>
  </si>
  <si>
    <t>SPITALUL ORASENESC COSTESTI</t>
  </si>
  <si>
    <t>SPITALUL DE PSIHIATRIE SF.MARIA VEDEA</t>
  </si>
  <si>
    <t>SPITALUL DE PNEUMOFTIZIOLOGIE LEORDENI</t>
  </si>
  <si>
    <t>SPITALUL DE RECUPERARE BRADET</t>
  </si>
  <si>
    <t>CULTE RELIGIOASE</t>
  </si>
  <si>
    <t>Sustinerea cultelor</t>
  </si>
  <si>
    <t>67.02.06</t>
  </si>
  <si>
    <t>59.12</t>
  </si>
  <si>
    <t>ALTE SUME PRIMITE DE LA UE</t>
  </si>
  <si>
    <t>Alte sume primite de la uniunea europeana pentru programele operationale finantate din cadrul financiar 2014-2020</t>
  </si>
  <si>
    <t>46.02.04</t>
  </si>
  <si>
    <t>ALIMENTARE CU APA- S.C. Administrare si
Exploatare a Patrimoniului si Serviciilor de Utilitati Publice
Arges S.A.</t>
  </si>
  <si>
    <t xml:space="preserve">SECTIUNEA DE DEZVOLTARE </t>
  </si>
  <si>
    <t>Active financiare</t>
  </si>
  <si>
    <t>72.01</t>
  </si>
  <si>
    <t>Participare la capitalul social al societatilor comerciale</t>
  </si>
  <si>
    <t>72.01.01</t>
  </si>
  <si>
    <t>PROIECT "Extinderea si dotarea Ambulatoriului Integrat al Spitalului  Judetean de Urgenta Pitesti"cod SMIS 123890</t>
  </si>
  <si>
    <t>PROIECT "Extinderea, modernizarea si dotarea Ambulatoriului Integrat al Spitalului de Pediatrie Pitesti"cod SMIS 125102</t>
  </si>
  <si>
    <t>CENTRUL DE ABILITARE SI REABILITARE PENTRU PERSOANE ADULTE CU DIZABILITATI CALINESTI</t>
  </si>
  <si>
    <t>CENTRUL DE CULTURA DINU LIPATTI</t>
  </si>
  <si>
    <t>Subventii</t>
  </si>
  <si>
    <t xml:space="preserve">Modernizare DJ uri din buget local </t>
  </si>
  <si>
    <t xml:space="preserve">De la bugetul de stat 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</si>
  <si>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</si>
  <si>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</si>
  <si>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</si>
  <si>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</si>
  <si>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</si>
  <si>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SUME DEFALCATE DIN TVA </t>
  </si>
  <si>
    <t xml:space="preserve">VENITURI PROPRII </t>
  </si>
  <si>
    <t>PROIECT " VENUS - Impreuna pentru o viata in siguranta " - 128085</t>
  </si>
  <si>
    <t xml:space="preserve">  I.             cheltuieli de personal </t>
  </si>
  <si>
    <t>DIRECTIA GENERALA  PENTRU EVIDENTA PERSOANELOR PITESTI</t>
  </si>
  <si>
    <t>CENTRE DE ASISTENTA</t>
  </si>
  <si>
    <t xml:space="preserve">ASIGURARI SI ASIST. SOCIALA </t>
  </si>
  <si>
    <t xml:space="preserve">CULTURA, RECREERE SI RELIGIE </t>
  </si>
  <si>
    <t>Cultura si culte din care</t>
  </si>
  <si>
    <t xml:space="preserve">            personal neclerical</t>
  </si>
  <si>
    <t>Sume def din TVA  pt echilibrarea bugete locale</t>
  </si>
  <si>
    <t>Subventii pt sustinerea Proiecte FEN postaderare aferente 2014-2020</t>
  </si>
  <si>
    <t xml:space="preserve">TOTAL CHELTUIELI </t>
  </si>
  <si>
    <t xml:space="preserve"> II.              cheltuieli cu bunuri si servicii</t>
  </si>
  <si>
    <t xml:space="preserve">IV Subventii </t>
  </si>
  <si>
    <t>Proiect "Implementarea unor masuri si instrumente destinate imbunatatirii proceselor administrative in cadrul Consiliului Judetean Arges</t>
  </si>
  <si>
    <t xml:space="preserve">ALTE SERVICII PUBLICE GENERALE </t>
  </si>
  <si>
    <t>VI. Transferuri catre institutii publice pentru:</t>
  </si>
  <si>
    <r>
      <t xml:space="preserve">    </t>
    </r>
    <r>
      <rPr>
        <b/>
        <u/>
        <sz val="11"/>
        <rFont val="Times New Roman"/>
        <family val="1"/>
        <charset val="238"/>
      </rPr>
      <t xml:space="preserve">PARTEA II APARARE, ORDINE PUBLICA </t>
    </r>
  </si>
  <si>
    <t>APARARE</t>
  </si>
  <si>
    <t xml:space="preserve">ORDINE PUBLICA SI SIGURANTA NATIONALA </t>
  </si>
  <si>
    <r>
      <t xml:space="preserve">    </t>
    </r>
    <r>
      <rPr>
        <b/>
        <u/>
        <sz val="11"/>
        <rFont val="Times New Roman"/>
        <family val="1"/>
        <charset val="238"/>
      </rPr>
      <t>PARTEA III CHELT SOCIAL- CULTURALE</t>
    </r>
  </si>
  <si>
    <t xml:space="preserve">INVATAMANT </t>
  </si>
  <si>
    <t xml:space="preserve">  INVATAMANT SPECIAL </t>
  </si>
  <si>
    <t>SANATATE</t>
  </si>
  <si>
    <t xml:space="preserve">UNITATI DE ASISTENTA MEDICO-SOCIALE </t>
  </si>
  <si>
    <t>UNITATI DE ASISTENTA MEDICO-SOCIALE</t>
  </si>
  <si>
    <r>
      <t xml:space="preserve">       </t>
    </r>
    <r>
      <rPr>
        <b/>
        <u/>
        <sz val="11"/>
        <rFont val="Times New Roman"/>
        <family val="1"/>
        <charset val="238"/>
      </rPr>
      <t>PARTEA  IV  SERVICII SI DEZVOLTARE PUBLICA</t>
    </r>
  </si>
  <si>
    <t>LOCUINTE SERVICII SI DEZVOLTARE PUBLICA</t>
  </si>
  <si>
    <t xml:space="preserve">PROTECTIA MEDIULUI </t>
  </si>
  <si>
    <t xml:space="preserve">ACTIUNI GENERALE ECONOMICE </t>
  </si>
  <si>
    <r>
      <t xml:space="preserve">   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 xml:space="preserve">PARTEA V ACTIUNI ECONOMICE </t>
    </r>
  </si>
  <si>
    <t>Venituri din proprietate</t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</si>
  <si>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(15% din 14%)</t>
    </r>
  </si>
  <si>
    <t xml:space="preserve"> Cofinantare PNDL</t>
  </si>
  <si>
    <t>PLATFORMA COTMEANA</t>
  </si>
  <si>
    <t xml:space="preserve">ALTE ACTIUNI DE ASISTENTA SOCIALA </t>
  </si>
  <si>
    <t xml:space="preserve">Transferuri aferente cheltuielilor cu alocatia de hrana si cu indemnizatia de cazare pentru  personalul din serviciile sociale publice aflat in izolare preventiva la locul de munca </t>
  </si>
  <si>
    <t>Transferuri aferente cheltuielilor cu alocatia de hrana pentru personalul din serviciile sociale private aflat in izolare preventiva la locul de munca</t>
  </si>
  <si>
    <t>55.01.73</t>
  </si>
  <si>
    <t>51.01.76</t>
  </si>
  <si>
    <t>VII Alte transferuri (55.01+55.02)</t>
  </si>
  <si>
    <t>Programe din Fondul European de Dezvoltare Regionala (FEDR)</t>
  </si>
  <si>
    <t>Proiect "Complex de servicii sociale, comuna Rucar, 
judetul Arges "</t>
  </si>
  <si>
    <t>Proiect "Complex de servicii sociale, Municipiul
 Campulung, judetul Arges "</t>
  </si>
  <si>
    <t>Proiect "Complex de servicii sociale, Orasul Costesti, judetul Arges ", Cod SMIS 130512</t>
  </si>
  <si>
    <t xml:space="preserve">BUGET INITIAL </t>
  </si>
  <si>
    <t>BUGET FINAL</t>
  </si>
  <si>
    <t>EXECUTIE</t>
  </si>
  <si>
    <t>ESTIMARI</t>
  </si>
  <si>
    <t>CENTRUL DE  EDUCATIE INCLUZIVA "SF.  MARINA"CURTEA DE ARGES
 CURTEA DE ARGES</t>
  </si>
  <si>
    <t>Plati efectuate in anii precedenti si recuperate
 in anul curent</t>
  </si>
  <si>
    <t>Plati efectuate in anii precedenti si recuperate in anul
 curent</t>
  </si>
  <si>
    <t>Varsaminte din veniturile si/s</t>
  </si>
  <si>
    <t>36.02.05</t>
  </si>
  <si>
    <t>OPERATIUNI FINANCIARE</t>
  </si>
  <si>
    <t>ALTE ACTIUNI DE ASISTENTA SOCIALA
 (ajutoare, burse)</t>
  </si>
  <si>
    <t>PROIECT  "Modernizare DJ679: Paduroiu (67B) - Lipia-Popesti-Lunca Corbului-Padureti-Ciesti-Falfani-Cotmeana-Malu-Barla+Lim.Jud.Olt, km 0+000-48.222;L=47,670 km</t>
  </si>
  <si>
    <t>SOLICITARE
 proiect</t>
  </si>
  <si>
    <t>PROPUNERE
proiect</t>
  </si>
  <si>
    <t>SOLICITARE
 initial</t>
  </si>
  <si>
    <t xml:space="preserve">EXECUTIE
=buget final </t>
  </si>
  <si>
    <t>59.17</t>
  </si>
  <si>
    <t>Burse</t>
  </si>
  <si>
    <t>59.01</t>
  </si>
  <si>
    <t>Buse</t>
  </si>
  <si>
    <t xml:space="preserve"> </t>
  </si>
  <si>
    <t>59.40</t>
  </si>
  <si>
    <t>servicii…</t>
  </si>
  <si>
    <t>Finantarea burselor din invatamantul special</t>
  </si>
  <si>
    <t>PROPUNERE</t>
  </si>
  <si>
    <t>CENTRUL SCOLAR DE EDUCATIE INCLUZIVA "SF. STELIAN" COSTESTI</t>
  </si>
  <si>
    <t>mii lei</t>
  </si>
  <si>
    <t>CENTRUL JUDETEAN DE RESURSE SI ASISTENTA EDUCATIONALA ARGES</t>
  </si>
  <si>
    <t>BIBLIOTECA JUDETEANA "DINICU GOLESCU" ARGES</t>
  </si>
  <si>
    <t xml:space="preserve">Finantare din Excedentul bugetului local </t>
  </si>
  <si>
    <t xml:space="preserve">pentru finantarea SECTIUNII DE DEZVOLTARE </t>
  </si>
  <si>
    <t>Cap. 51.02 - AUTORITATI EXECUTIVE</t>
  </si>
  <si>
    <t>Cofinantare Proiecte cu finantare FEN</t>
  </si>
  <si>
    <t xml:space="preserve">Implementarea unor masuri si instrumente destinate imbunatatirii proceselor administrative in cadrul Consiliului Judetean Arges"
 </t>
  </si>
  <si>
    <t>Restaurarea Galeriei de Arta Rudolf Schweitzer-Cumpana - Consolidarea, protejarea si valorificarea patrimoniului cultural</t>
  </si>
  <si>
    <t>Restaurarea Muzeului Judetean Arges- consolidarea, protejarea si valorificarea patrimoniului cultural</t>
  </si>
  <si>
    <t>Conservarea si Consolidarea Cetatii Poienari Arges</t>
  </si>
  <si>
    <t>Cresterea eficientei energetice a Spitalului de Recuperare Bradet</t>
  </si>
  <si>
    <t>Cresterea eficientei energetice a Palatului Administrativ situat in Pitesti- Piata Vasile Milea nr. 1</t>
  </si>
  <si>
    <t>Extindere, modernizare si dotare spatii urgenta Spitalul de Pediatrie Pitesti</t>
  </si>
  <si>
    <t>Extindere si dotare spatii Urgenta si amenajari incinta Spitalul Judetean de Urgenta Pitesti</t>
  </si>
  <si>
    <t>Extinderea, modernizarea si dotarea Ambulatorului Integrat al Spitalului de Pediatrie Pitesti</t>
  </si>
  <si>
    <t>Extinderea si dotarea Ambulatorului Integrat al Spitalului Judetean de Urgente Pitesti</t>
  </si>
  <si>
    <t>Cheltuieli de capital</t>
  </si>
  <si>
    <t>Consolidare si reabilitare Spital Judetean de Urgenta Pitesti</t>
  </si>
  <si>
    <t>Adaptarea protejarii conductelor de transport gaze naturale existente DN500 Hurezani - Corbu-Bucuresti, Fir I si II la intersectia cu drumul judetean DJ 504 ca urmare a lucrarii: Modernizarea drumului judetean DJ 504 Lim.Jud.Teleorman-Popesti-Izvoru-Recea-Cornatel-Vulpesti (DN 65 A), km 110+700-136+695. L=25,995 km, pe raza com. Popesti, Izvoru, Recea, Buzoesti, jud.Arges</t>
  </si>
  <si>
    <t>Statie de Epurare ape uzate si retea de canalizare menajera</t>
  </si>
  <si>
    <t>Cap. 61.02 - ORDINE PUBLICA SI SIGURANTA NATIONALA</t>
  </si>
  <si>
    <t>INSPECTORATUL PENTRU SITUATII DE URGENTA ARGES</t>
  </si>
  <si>
    <t>Operationalizarea Dispeceratului Integrat la nivelul judetului Arges</t>
  </si>
  <si>
    <t>Cap. 66.02 - SANATATE</t>
  </si>
  <si>
    <t>Construire corp de cladire  nou  la Spitalul Judetean de Urgenta Pitesti</t>
  </si>
  <si>
    <t>Cap. 68.02 - ASIGURARI SI ASISTENTA SOCIALA</t>
  </si>
  <si>
    <t>DIRECTIA GENERALA DE ASISTENTA SOCIALA SI PROTECTIA COPILULUI ARGES</t>
  </si>
  <si>
    <t>Complex de 3 Locuinte protejate si Centru de zi, comuna Babana sat Lupuieni</t>
  </si>
  <si>
    <t>Complex de 4 Locuinte protejate si Centru de zi, comuna Tigveni, sat Barsestii de Jos</t>
  </si>
  <si>
    <t>Complex de 4 Locuinte protejate si Centru de zi, comuna Tigveni, sat Balilesti</t>
  </si>
  <si>
    <t>Complex de 4 Locuinte protejate si Centru de zi, comuna Ciofrangeni, sat Ciofrangeni</t>
  </si>
  <si>
    <t>Complex de servicii sociale, Comuna Rucar, Judetul Arges  -SMIS 130513</t>
  </si>
  <si>
    <t>Complex de servicii sociale, Municipiul Campulung, Judetul Arges  -SMIS 130511</t>
  </si>
  <si>
    <t>Complex de Servicii Sociale, Orasul Costesti, judetul Arges, Cod SMIS 130512</t>
  </si>
  <si>
    <t>Venus - Impreuna pentru o viata in siguranta</t>
  </si>
  <si>
    <t>TEAM-UP Progres in calitatea ingrijirii alternative a copiilor</t>
  </si>
  <si>
    <t>UNITATEA DE ASISTENTA MEDICO SOCIALA DEDULESTI</t>
  </si>
  <si>
    <t>Despicator de busteni</t>
  </si>
  <si>
    <t>Masina pentru tuns gazon</t>
  </si>
  <si>
    <t>Masina de curatat pavaj</t>
  </si>
  <si>
    <t>Masina de spalat pardoseli</t>
  </si>
  <si>
    <t>Cap. 70.02 LOCUINTE, SERVICII SI DEZVOLTARE ECONOMICA</t>
  </si>
  <si>
    <t>Expertiza tehnica cladire si reparatii capitale Baza de Salvare montana Cota 2000- Transfagarasan</t>
  </si>
  <si>
    <t>Cap. 80.02 ACTIUNI GENERALE ECONOMICE</t>
  </si>
  <si>
    <t>Program de Dezvoltare Regionala</t>
  </si>
  <si>
    <t>Cap. 84.02 TRANSPORTURI</t>
  </si>
  <si>
    <t xml:space="preserve"> Proiecte cu finantare FEN</t>
  </si>
  <si>
    <t>"Modernizarea drumului judetean  DJ504 lim jud. Teloeorman-Popesti-Izvoru-Recea-Cornatel-Vulpesti (DN 65A) km 110+700-136+695, L=25,995 km, pe raza com.Popesti, Izvoru, Recea, Buzoesti, jud. Arges" (FEDR)</t>
  </si>
  <si>
    <t xml:space="preserve">"Modernizarea  DJ 503 lim jud. Dambovita-Slobozia-Rociu-Oarja-Catanele (DJ 702G-km 3+824), km 98+000-140+034 (42,034 km), jud. Arges"  </t>
  </si>
  <si>
    <t>Cheltuieli de capital - Drumuri Judetene</t>
  </si>
  <si>
    <t>Cofinantare Proiecte din Programul National de Dezvoltare Locala I si II</t>
  </si>
  <si>
    <t>Modernizare DJ 725 Stoenesti-Dragoslavele, km 3+313-6+626, L=3,313 km, in comunele Stoenesti si Dragoslavele</t>
  </si>
  <si>
    <t>Modernizare DJ 703 B Moraresti-Uda, KM 17+753-20+253, L=2,5 KM</t>
  </si>
  <si>
    <t>Modernizare DJ 702 A Ciupa-Răteşti, km 33+030-35+696, la Ratesti</t>
  </si>
  <si>
    <t>Pod pe DJ 741 Piteşti-Valea Mare-Făgetu-Mioveni, km 2+060, peste pârâul Valea Mare (Ploscaru), la Ştefăneşti</t>
  </si>
  <si>
    <t>Modernizare DJ 703 B Costeşti (DN 65 A)-Şerbăneşti (DJ 659), km 60+325-68+783, L=8,458km, la Costeşti şi Rociu</t>
  </si>
  <si>
    <t>Pod pe DJ 703 H Curtea de Argeş (DN 7 C)-Valea Danului-Cepari, km 0+597, L=152m, în comuna Valea Danului</t>
  </si>
  <si>
    <t>Pod pe DJ 738 Jugur-Drăghici-Mihăeşti peste râul Târgului, km 21+900, în comuna Mihăeşti</t>
  </si>
  <si>
    <t>Modernizare DJ 703 B Şerbăneşti (DJ 659)-Siliştea, km 70+410-77+826, L=7,416km, în comunele Rociu şi Căteasca</t>
  </si>
  <si>
    <t>Modernizare drum judetean DJ 703 Moraresti-Cuca-Ciomagesti-lim. Jud. Olt, km 13+400-16+600, L=3,2 km, comuna Cuca, jud. Arges</t>
  </si>
  <si>
    <t>Modernizare drum judetean DJ 508 Cateasca (DJ 703B)-Furduiesti-Teiu-Buta (DJ 659), km 12+400-17+217, L=4,817 km, com. Teiu si Negrasi, jud. Arges</t>
  </si>
  <si>
    <t>Modernizare pe DJ 679 D Negrasi (DJ 659) - Mozacu, km 34+500 - 39+500, L = 5,0 km, comuna Negrasi</t>
  </si>
  <si>
    <t>Modernizare DJ 659 A Bradu-Costesti, km 5+060-9+744, L=4,684 km, la Costesti</t>
  </si>
  <si>
    <t>I.B.U. pe DJ 679 C Caldararu (DN 65A)-Izvoru-Mozaceni (DJ 659), km 22+215-23+515, L=1 km, la Mozaceni</t>
  </si>
  <si>
    <t>I.B.U. DJ 742 Leordeni (DJ 703 B)-Glambocata (DN 7), km 0+000-11+050, in com.Leordeni</t>
  </si>
  <si>
    <t>Modernizare DJ 703 B Padureti (DJ 679)-Costesti (DN 65A), km 48+975-59+287, L=10,312 km, la Lunca Corbului si Costesti</t>
  </si>
  <si>
    <t>Modernizare DJ 702F Lim.Jud.Dambovita - Slobozia, km 17+984-18+441, L = 457 m, jud.Arges</t>
  </si>
  <si>
    <t>Modernizare DJ 703 H Curtea de Arges - Valea Danului - Cepari - Suici, Lim.Jud.Valcea, km 9+475-10+364, L= 0,889 km, com.Valea Danului si Cepari, jud.Arges</t>
  </si>
  <si>
    <t>Modernizare DJ 738 Poenari (DN 73 km 44+500) - Jugur -Draghici -Mihaesti (DC11), km 10+200-13+600, L=3,4 km, judetul Arges</t>
  </si>
  <si>
    <t>Modernizare DJ 704 E Ursoaia - Bascovele - Ceauresti, km 3+100-7+600, L=4,5 km, judetul Arges</t>
  </si>
  <si>
    <t>Pod peste raul Neajlov, in satul Silistea, comuna Cateasca, judetul Arges</t>
  </si>
  <si>
    <t>Servicii de elaborare documentatii tehnico economice si alte documentatii: studii, documentatii tehnice necesare in vederea obtinerii avizelor/acordurilor/ autorizatiilor, expertize tehnice ( drum si poduri), D.A.L.I. (inclusiv tema de proiectare), PT, DE asistenta tehnica din partea proiectantului si Verificare tehnica de calitate PT si DE pentru "Modernizare DJ679: Paduroiu (67B)- Lipia-Popesti-Lunca Corbului-Padureti- Ciesti-Falfani-Cotmeana-Malu-Barla-Lim.Jud.Olt, km 0+000-48,222, L=47,670 km"</t>
  </si>
  <si>
    <t>Documentatie de avizare  a lucrarilor de interventie pentru obiectivul " Modernizare DJ 679 D Malu-Coltu-Ungheni-Recea-Negrasi-Mozacu, km 7+940-14+940, L=7 km, la  Ungheni, jud.Arges"</t>
  </si>
  <si>
    <t>Documentatie de avizare  a lucrarilor de interventie pentru obiectivul " Modernizare DJ 703B Silistea - Cateasca, km 77+826-83+12, L= 5,3 km, comuna Cateasca, jud.Arges"</t>
  </si>
  <si>
    <t>TOTAL GENERAL</t>
  </si>
  <si>
    <t xml:space="preserve">Modernizare DJ 704H Merisani-Baiculesti-Curtea de Arges, km 13+035-17+600, L=4,565 km </t>
  </si>
  <si>
    <t>TRIMESTRUL</t>
  </si>
  <si>
    <r>
      <t xml:space="preserve">Cote defalcate din impozitul pe venit </t>
    </r>
    <r>
      <rPr>
        <b/>
        <sz val="11"/>
        <rFont val="Times New Roman"/>
        <family val="1"/>
        <charset val="238"/>
      </rPr>
      <t xml:space="preserve">(15% </t>
    </r>
    <r>
      <rPr>
        <sz val="11"/>
        <rFont val="Times New Roman"/>
        <family val="1"/>
        <charset val="238"/>
      </rPr>
      <t>)</t>
    </r>
  </si>
  <si>
    <t>ANEXA nr. 1</t>
  </si>
  <si>
    <t xml:space="preserve">La H. C.J. </t>
  </si>
  <si>
    <t>PROIECT</t>
  </si>
  <si>
    <t>BUGET DE VENITURI SI CHELTUIELI</t>
  </si>
  <si>
    <t>PE ANUL 2021</t>
  </si>
  <si>
    <t>V. FOND  DE REZERVA</t>
  </si>
  <si>
    <t>68.02.12</t>
  </si>
  <si>
    <t>68.02.12.01</t>
  </si>
  <si>
    <t>68.02.12.02</t>
  </si>
  <si>
    <t>68.02.12.03</t>
  </si>
  <si>
    <t>Varsaminte din sectiunea de functionare pentru finantarea sectiunii de dezvoltare a bugetului local(cu semnul minus)</t>
  </si>
  <si>
    <t>Vărsăminte din secţiunea de funcţionare</t>
  </si>
  <si>
    <t>La H.C.J. nr.96/19.04.2021</t>
  </si>
</sst>
</file>

<file path=xl/styles.xml><?xml version="1.0" encoding="utf-8"?>
<styleSheet xmlns="http://schemas.openxmlformats.org/spreadsheetml/2006/main">
  <fonts count="46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u/>
      <sz val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b/>
      <sz val="9"/>
      <name val="Arial"/>
      <family val="2"/>
      <charset val="238"/>
    </font>
    <font>
      <b/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1"/>
      <color theme="1"/>
      <name val="Times New Roman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</font>
    <font>
      <sz val="8"/>
      <color theme="1"/>
      <name val="Times New Roman"/>
      <family val="1"/>
    </font>
    <font>
      <sz val="8"/>
      <color theme="1"/>
      <name val="Times New Roman"/>
      <family val="1"/>
      <charset val="238"/>
    </font>
    <font>
      <sz val="8"/>
      <name val="Times New Roman"/>
      <family val="1"/>
    </font>
    <font>
      <sz val="8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3" fillId="0" borderId="0"/>
    <xf numFmtId="0" fontId="24" fillId="0" borderId="0"/>
    <xf numFmtId="0" fontId="25" fillId="0" borderId="0"/>
    <xf numFmtId="0" fontId="3" fillId="0" borderId="0"/>
    <xf numFmtId="0" fontId="1" fillId="0" borderId="0"/>
  </cellStyleXfs>
  <cellXfs count="33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8" fillId="0" borderId="0" xfId="0" applyFont="1" applyFill="1" applyBorder="1" applyAlignment="1">
      <alignment horizontal="center"/>
    </xf>
    <xf numFmtId="0" fontId="9" fillId="0" borderId="0" xfId="0" applyFont="1" applyFill="1"/>
    <xf numFmtId="0" fontId="5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18" fillId="0" borderId="0" xfId="0" applyFont="1" applyFill="1"/>
    <xf numFmtId="0" fontId="17" fillId="0" borderId="0" xfId="0" applyFont="1" applyFill="1" applyBorder="1"/>
    <xf numFmtId="0" fontId="18" fillId="0" borderId="0" xfId="0" applyFont="1" applyFill="1" applyBorder="1"/>
    <xf numFmtId="0" fontId="17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wrapText="1"/>
    </xf>
    <xf numFmtId="0" fontId="18" fillId="0" borderId="2" xfId="0" applyFont="1" applyFill="1" applyBorder="1"/>
    <xf numFmtId="0" fontId="17" fillId="3" borderId="3" xfId="0" applyFont="1" applyFill="1" applyBorder="1"/>
    <xf numFmtId="0" fontId="17" fillId="3" borderId="5" xfId="0" applyFont="1" applyFill="1" applyBorder="1"/>
    <xf numFmtId="0" fontId="17" fillId="0" borderId="5" xfId="0" applyFont="1" applyFill="1" applyBorder="1"/>
    <xf numFmtId="0" fontId="18" fillId="0" borderId="5" xfId="0" applyFont="1" applyFill="1" applyBorder="1"/>
    <xf numFmtId="0" fontId="17" fillId="0" borderId="7" xfId="0" applyFont="1" applyFill="1" applyBorder="1"/>
    <xf numFmtId="2" fontId="18" fillId="0" borderId="7" xfId="0" applyNumberFormat="1" applyFont="1" applyFill="1" applyBorder="1"/>
    <xf numFmtId="2" fontId="18" fillId="0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17" fillId="0" borderId="2" xfId="0" applyFont="1" applyFill="1" applyBorder="1" applyAlignment="1">
      <alignment horizontal="right"/>
    </xf>
    <xf numFmtId="0" fontId="17" fillId="0" borderId="7" xfId="0" applyFont="1" applyFill="1" applyBorder="1" applyAlignment="1">
      <alignment wrapText="1"/>
    </xf>
    <xf numFmtId="0" fontId="18" fillId="0" borderId="7" xfId="0" applyFont="1" applyFill="1" applyBorder="1" applyAlignment="1">
      <alignment wrapText="1"/>
    </xf>
    <xf numFmtId="0" fontId="18" fillId="0" borderId="7" xfId="0" applyFont="1" applyFill="1" applyBorder="1"/>
    <xf numFmtId="0" fontId="17" fillId="0" borderId="2" xfId="0" applyFont="1" applyFill="1" applyBorder="1"/>
    <xf numFmtId="0" fontId="18" fillId="0" borderId="2" xfId="0" applyFont="1" applyFill="1" applyBorder="1" applyAlignment="1">
      <alignment wrapText="1"/>
    </xf>
    <xf numFmtId="0" fontId="20" fillId="0" borderId="2" xfId="0" applyFont="1" applyFill="1" applyBorder="1" applyAlignment="1">
      <alignment horizontal="left" wrapText="1"/>
    </xf>
    <xf numFmtId="0" fontId="17" fillId="0" borderId="3" xfId="0" applyFont="1" applyFill="1" applyBorder="1"/>
    <xf numFmtId="0" fontId="18" fillId="0" borderId="5" xfId="0" applyFont="1" applyFill="1" applyBorder="1" applyAlignment="1">
      <alignment wrapText="1"/>
    </xf>
    <xf numFmtId="0" fontId="17" fillId="0" borderId="4" xfId="0" applyFont="1" applyFill="1" applyBorder="1"/>
    <xf numFmtId="0" fontId="17" fillId="0" borderId="1" xfId="0" applyFont="1" applyFill="1" applyBorder="1"/>
    <xf numFmtId="0" fontId="17" fillId="3" borderId="2" xfId="0" applyFont="1" applyFill="1" applyBorder="1"/>
    <xf numFmtId="0" fontId="19" fillId="3" borderId="2" xfId="0" applyFont="1" applyFill="1" applyBorder="1"/>
    <xf numFmtId="0" fontId="17" fillId="3" borderId="7" xfId="0" applyFont="1" applyFill="1" applyBorder="1" applyAlignment="1">
      <alignment wrapText="1"/>
    </xf>
    <xf numFmtId="0" fontId="19" fillId="0" borderId="2" xfId="0" applyFont="1" applyFill="1" applyBorder="1"/>
    <xf numFmtId="0" fontId="17" fillId="3" borderId="7" xfId="0" applyFont="1" applyFill="1" applyBorder="1"/>
    <xf numFmtId="0" fontId="18" fillId="2" borderId="7" xfId="0" applyFont="1" applyFill="1" applyBorder="1"/>
    <xf numFmtId="0" fontId="18" fillId="2" borderId="2" xfId="0" applyFont="1" applyFill="1" applyBorder="1" applyAlignment="1">
      <alignment wrapText="1"/>
    </xf>
    <xf numFmtId="0" fontId="18" fillId="2" borderId="7" xfId="0" applyFont="1" applyFill="1" applyBorder="1" applyAlignment="1">
      <alignment wrapText="1"/>
    </xf>
    <xf numFmtId="0" fontId="17" fillId="9" borderId="7" xfId="0" applyFont="1" applyFill="1" applyBorder="1" applyAlignment="1">
      <alignment wrapText="1"/>
    </xf>
    <xf numFmtId="0" fontId="17" fillId="2" borderId="7" xfId="0" applyFont="1" applyFill="1" applyBorder="1" applyAlignment="1">
      <alignment wrapText="1"/>
    </xf>
    <xf numFmtId="0" fontId="18" fillId="0" borderId="8" xfId="1" applyFont="1" applyFill="1" applyBorder="1" applyAlignment="1">
      <alignment wrapText="1"/>
    </xf>
    <xf numFmtId="0" fontId="17" fillId="2" borderId="7" xfId="0" applyFont="1" applyFill="1" applyBorder="1"/>
    <xf numFmtId="16" fontId="17" fillId="0" borderId="2" xfId="0" applyNumberFormat="1" applyFont="1" applyFill="1" applyBorder="1"/>
    <xf numFmtId="16" fontId="18" fillId="0" borderId="2" xfId="0" applyNumberFormat="1" applyFont="1" applyFill="1" applyBorder="1"/>
    <xf numFmtId="0" fontId="17" fillId="0" borderId="4" xfId="0" applyFont="1" applyFill="1" applyBorder="1" applyAlignment="1">
      <alignment horizontal="left" wrapText="1"/>
    </xf>
    <xf numFmtId="2" fontId="17" fillId="0" borderId="2" xfId="0" applyNumberFormat="1" applyFont="1" applyFill="1" applyBorder="1"/>
    <xf numFmtId="0" fontId="17" fillId="3" borderId="7" xfId="0" applyFont="1" applyFill="1" applyBorder="1" applyAlignment="1">
      <alignment horizontal="left" wrapText="1"/>
    </xf>
    <xf numFmtId="0" fontId="17" fillId="2" borderId="9" xfId="0" applyFont="1" applyFill="1" applyBorder="1" applyAlignment="1">
      <alignment wrapText="1"/>
    </xf>
    <xf numFmtId="0" fontId="18" fillId="6" borderId="10" xfId="1" applyFont="1" applyFill="1" applyBorder="1" applyAlignment="1">
      <alignment wrapText="1"/>
    </xf>
    <xf numFmtId="0" fontId="18" fillId="6" borderId="0" xfId="1" applyFont="1" applyFill="1" applyBorder="1"/>
    <xf numFmtId="0" fontId="17" fillId="7" borderId="2" xfId="0" applyFont="1" applyFill="1" applyBorder="1"/>
    <xf numFmtId="0" fontId="19" fillId="7" borderId="2" xfId="0" applyFont="1" applyFill="1" applyBorder="1"/>
    <xf numFmtId="0" fontId="19" fillId="0" borderId="0" xfId="0" applyFont="1" applyFill="1" applyBorder="1"/>
    <xf numFmtId="0" fontId="17" fillId="11" borderId="2" xfId="0" applyFont="1" applyFill="1" applyBorder="1"/>
    <xf numFmtId="4" fontId="5" fillId="4" borderId="2" xfId="0" applyNumberFormat="1" applyFont="1" applyFill="1" applyBorder="1"/>
    <xf numFmtId="4" fontId="9" fillId="0" borderId="2" xfId="0" applyNumberFormat="1" applyFont="1" applyFill="1" applyBorder="1"/>
    <xf numFmtId="4" fontId="12" fillId="4" borderId="2" xfId="0" applyNumberFormat="1" applyFont="1" applyFill="1" applyBorder="1"/>
    <xf numFmtId="4" fontId="9" fillId="2" borderId="2" xfId="0" applyNumberFormat="1" applyFont="1" applyFill="1" applyBorder="1"/>
    <xf numFmtId="4" fontId="9" fillId="5" borderId="2" xfId="0" applyNumberFormat="1" applyFont="1" applyFill="1" applyBorder="1"/>
    <xf numFmtId="4" fontId="5" fillId="12" borderId="2" xfId="0" applyNumberFormat="1" applyFont="1" applyFill="1" applyBorder="1"/>
    <xf numFmtId="4" fontId="9" fillId="4" borderId="2" xfId="0" applyNumberFormat="1" applyFont="1" applyFill="1" applyBorder="1"/>
    <xf numFmtId="4" fontId="9" fillId="10" borderId="2" xfId="0" applyNumberFormat="1" applyFont="1" applyFill="1" applyBorder="1"/>
    <xf numFmtId="4" fontId="5" fillId="5" borderId="2" xfId="0" applyNumberFormat="1" applyFont="1" applyFill="1" applyBorder="1"/>
    <xf numFmtId="4" fontId="9" fillId="8" borderId="2" xfId="0" applyNumberFormat="1" applyFont="1" applyFill="1" applyBorder="1"/>
    <xf numFmtId="4" fontId="5" fillId="2" borderId="2" xfId="0" applyNumberFormat="1" applyFont="1" applyFill="1" applyBorder="1"/>
    <xf numFmtId="4" fontId="12" fillId="5" borderId="2" xfId="0" applyNumberFormat="1" applyFont="1" applyFill="1" applyBorder="1"/>
    <xf numFmtId="4" fontId="5" fillId="9" borderId="2" xfId="0" applyNumberFormat="1" applyFont="1" applyFill="1" applyBorder="1"/>
    <xf numFmtId="4" fontId="9" fillId="9" borderId="2" xfId="0" applyNumberFormat="1" applyFont="1" applyFill="1" applyBorder="1"/>
    <xf numFmtId="4" fontId="5" fillId="0" borderId="2" xfId="0" applyNumberFormat="1" applyFont="1" applyFill="1" applyBorder="1"/>
    <xf numFmtId="4" fontId="12" fillId="7" borderId="2" xfId="0" applyNumberFormat="1" applyFont="1" applyFill="1" applyBorder="1"/>
    <xf numFmtId="0" fontId="6" fillId="3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9" fillId="0" borderId="11" xfId="0" applyFont="1" applyBorder="1" applyAlignment="1">
      <alignment horizontal="center" vertical="justify"/>
    </xf>
    <xf numFmtId="0" fontId="11" fillId="0" borderId="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wrapText="1"/>
    </xf>
    <xf numFmtId="49" fontId="11" fillId="6" borderId="10" xfId="1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11" fillId="6" borderId="0" xfId="1" applyNumberFormat="1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7" fillId="11" borderId="3" xfId="0" applyFont="1" applyFill="1" applyBorder="1"/>
    <xf numFmtId="0" fontId="17" fillId="11" borderId="5" xfId="0" applyFont="1" applyFill="1" applyBorder="1"/>
    <xf numFmtId="0" fontId="11" fillId="11" borderId="4" xfId="0" applyFont="1" applyFill="1" applyBorder="1" applyAlignment="1">
      <alignment horizontal="center"/>
    </xf>
    <xf numFmtId="4" fontId="5" fillId="11" borderId="2" xfId="0" applyNumberFormat="1" applyFont="1" applyFill="1" applyBorder="1"/>
    <xf numFmtId="0" fontId="6" fillId="11" borderId="6" xfId="0" applyFont="1" applyFill="1" applyBorder="1" applyAlignment="1">
      <alignment horizontal="center"/>
    </xf>
    <xf numFmtId="0" fontId="17" fillId="11" borderId="7" xfId="0" applyFont="1" applyFill="1" applyBorder="1"/>
    <xf numFmtId="14" fontId="6" fillId="0" borderId="2" xfId="0" applyNumberFormat="1" applyFont="1" applyFill="1" applyBorder="1"/>
    <xf numFmtId="0" fontId="6" fillId="0" borderId="2" xfId="0" applyFont="1" applyFill="1" applyBorder="1"/>
    <xf numFmtId="0" fontId="18" fillId="13" borderId="2" xfId="0" applyFont="1" applyFill="1" applyBorder="1"/>
    <xf numFmtId="0" fontId="18" fillId="13" borderId="7" xfId="0" applyFont="1" applyFill="1" applyBorder="1" applyAlignment="1">
      <alignment wrapText="1"/>
    </xf>
    <xf numFmtId="0" fontId="11" fillId="13" borderId="4" xfId="0" applyFont="1" applyFill="1" applyBorder="1" applyAlignment="1">
      <alignment horizontal="center"/>
    </xf>
    <xf numFmtId="4" fontId="9" fillId="13" borderId="2" xfId="0" applyNumberFormat="1" applyFont="1" applyFill="1" applyBorder="1"/>
    <xf numFmtId="0" fontId="17" fillId="14" borderId="7" xfId="0" applyFont="1" applyFill="1" applyBorder="1"/>
    <xf numFmtId="0" fontId="11" fillId="14" borderId="4" xfId="0" applyFont="1" applyFill="1" applyBorder="1" applyAlignment="1">
      <alignment horizontal="center"/>
    </xf>
    <xf numFmtId="4" fontId="5" fillId="14" borderId="2" xfId="0" applyNumberFormat="1" applyFont="1" applyFill="1" applyBorder="1"/>
    <xf numFmtId="4" fontId="6" fillId="4" borderId="2" xfId="0" applyNumberFormat="1" applyFont="1" applyFill="1" applyBorder="1"/>
    <xf numFmtId="4" fontId="9" fillId="2" borderId="1" xfId="0" applyNumberFormat="1" applyFont="1" applyFill="1" applyBorder="1"/>
    <xf numFmtId="4" fontId="9" fillId="2" borderId="0" xfId="0" applyNumberFormat="1" applyFont="1" applyFill="1" applyBorder="1"/>
    <xf numFmtId="4" fontId="5" fillId="11" borderId="3" xfId="0" applyNumberFormat="1" applyFont="1" applyFill="1" applyBorder="1"/>
    <xf numFmtId="4" fontId="12" fillId="2" borderId="2" xfId="0" applyNumberFormat="1" applyFont="1" applyFill="1" applyBorder="1"/>
    <xf numFmtId="4" fontId="5" fillId="13" borderId="2" xfId="0" applyNumberFormat="1" applyFont="1" applyFill="1" applyBorder="1"/>
    <xf numFmtId="4" fontId="16" fillId="2" borderId="2" xfId="0" applyNumberFormat="1" applyFont="1" applyFill="1" applyBorder="1"/>
    <xf numFmtId="4" fontId="6" fillId="2" borderId="4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right"/>
    </xf>
    <xf numFmtId="4" fontId="9" fillId="12" borderId="2" xfId="0" applyNumberFormat="1" applyFont="1" applyFill="1" applyBorder="1"/>
    <xf numFmtId="4" fontId="16" fillId="12" borderId="2" xfId="0" applyNumberFormat="1" applyFont="1" applyFill="1" applyBorder="1"/>
    <xf numFmtId="0" fontId="11" fillId="2" borderId="4" xfId="0" applyFont="1" applyFill="1" applyBorder="1" applyAlignment="1">
      <alignment horizontal="center"/>
    </xf>
    <xf numFmtId="0" fontId="17" fillId="2" borderId="2" xfId="0" applyFont="1" applyFill="1" applyBorder="1"/>
    <xf numFmtId="4" fontId="21" fillId="2" borderId="2" xfId="0" applyNumberFormat="1" applyFont="1" applyFill="1" applyBorder="1"/>
    <xf numFmtId="0" fontId="17" fillId="12" borderId="2" xfId="0" applyFont="1" applyFill="1" applyBorder="1"/>
    <xf numFmtId="0" fontId="17" fillId="12" borderId="7" xfId="0" applyFont="1" applyFill="1" applyBorder="1"/>
    <xf numFmtId="0" fontId="6" fillId="12" borderId="4" xfId="0" applyFont="1" applyFill="1" applyBorder="1" applyAlignment="1">
      <alignment horizontal="center"/>
    </xf>
    <xf numFmtId="0" fontId="17" fillId="13" borderId="7" xfId="0" applyFont="1" applyFill="1" applyBorder="1" applyAlignment="1">
      <alignment wrapText="1"/>
    </xf>
    <xf numFmtId="0" fontId="17" fillId="0" borderId="2" xfId="0" applyFont="1" applyFill="1" applyBorder="1" applyAlignment="1">
      <alignment vertical="justify"/>
    </xf>
    <xf numFmtId="0" fontId="26" fillId="0" borderId="13" xfId="0" applyFont="1" applyFill="1" applyBorder="1" applyAlignment="1">
      <alignment horizontal="left" vertical="center" wrapText="1"/>
    </xf>
    <xf numFmtId="0" fontId="17" fillId="12" borderId="2" xfId="0" applyFont="1" applyFill="1" applyBorder="1" applyAlignment="1">
      <alignment horizontal="center"/>
    </xf>
    <xf numFmtId="0" fontId="17" fillId="12" borderId="2" xfId="0" applyFont="1" applyFill="1" applyBorder="1" applyAlignment="1">
      <alignment wrapText="1"/>
    </xf>
    <xf numFmtId="0" fontId="17" fillId="12" borderId="2" xfId="0" applyFont="1" applyFill="1" applyBorder="1" applyAlignment="1">
      <alignment vertical="justify"/>
    </xf>
    <xf numFmtId="0" fontId="26" fillId="12" borderId="13" xfId="0" applyFont="1" applyFill="1" applyBorder="1" applyAlignment="1">
      <alignment horizontal="left" vertical="center" wrapText="1"/>
    </xf>
    <xf numFmtId="0" fontId="26" fillId="12" borderId="2" xfId="0" applyFont="1" applyFill="1" applyBorder="1" applyAlignment="1">
      <alignment horizontal="center" vertical="center" wrapText="1"/>
    </xf>
    <xf numFmtId="0" fontId="28" fillId="12" borderId="0" xfId="0" applyFont="1" applyFill="1" applyAlignment="1">
      <alignment horizontal="center" vertical="center"/>
    </xf>
    <xf numFmtId="0" fontId="17" fillId="5" borderId="2" xfId="0" applyFont="1" applyFill="1" applyBorder="1"/>
    <xf numFmtId="0" fontId="17" fillId="5" borderId="7" xfId="0" applyFont="1" applyFill="1" applyBorder="1" applyAlignment="1">
      <alignment wrapText="1"/>
    </xf>
    <xf numFmtId="0" fontId="11" fillId="5" borderId="4" xfId="0" applyFont="1" applyFill="1" applyBorder="1" applyAlignment="1">
      <alignment horizontal="center"/>
    </xf>
    <xf numFmtId="0" fontId="17" fillId="5" borderId="5" xfId="0" applyFont="1" applyFill="1" applyBorder="1"/>
    <xf numFmtId="0" fontId="17" fillId="5" borderId="7" xfId="0" applyFont="1" applyFill="1" applyBorder="1"/>
    <xf numFmtId="0" fontId="6" fillId="5" borderId="4" xfId="0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right"/>
    </xf>
    <xf numFmtId="0" fontId="0" fillId="0" borderId="2" xfId="0" applyBorder="1" applyAlignment="1">
      <alignment horizontal="center" wrapText="1"/>
    </xf>
    <xf numFmtId="0" fontId="17" fillId="0" borderId="2" xfId="0" applyNumberFormat="1" applyFont="1" applyFill="1" applyBorder="1"/>
    <xf numFmtId="0" fontId="6" fillId="0" borderId="4" xfId="0" applyFont="1" applyFill="1" applyBorder="1" applyAlignment="1">
      <alignment horizontal="center" wrapText="1"/>
    </xf>
    <xf numFmtId="4" fontId="9" fillId="15" borderId="2" xfId="0" applyNumberFormat="1" applyFont="1" applyFill="1" applyBorder="1"/>
    <xf numFmtId="4" fontId="9" fillId="16" borderId="2" xfId="0" applyNumberFormat="1" applyFont="1" applyFill="1" applyBorder="1"/>
    <xf numFmtId="0" fontId="3" fillId="0" borderId="0" xfId="0" applyFont="1" applyFill="1" applyBorder="1"/>
    <xf numFmtId="0" fontId="0" fillId="0" borderId="2" xfId="0" applyBorder="1"/>
    <xf numFmtId="4" fontId="9" fillId="0" borderId="4" xfId="0" applyNumberFormat="1" applyFont="1" applyFill="1" applyBorder="1"/>
    <xf numFmtId="0" fontId="18" fillId="0" borderId="2" xfId="0" applyFont="1" applyFill="1" applyBorder="1" applyAlignment="1">
      <alignment horizontal="left" wrapText="1"/>
    </xf>
    <xf numFmtId="0" fontId="22" fillId="0" borderId="0" xfId="0" applyFont="1"/>
    <xf numFmtId="4" fontId="7" fillId="2" borderId="0" xfId="0" applyNumberFormat="1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7" xfId="0" applyFont="1" applyFill="1" applyBorder="1"/>
    <xf numFmtId="0" fontId="27" fillId="0" borderId="4" xfId="0" applyFont="1" applyFill="1" applyBorder="1" applyAlignment="1">
      <alignment horizontal="center"/>
    </xf>
    <xf numFmtId="4" fontId="7" fillId="2" borderId="2" xfId="0" applyNumberFormat="1" applyFont="1" applyFill="1" applyBorder="1"/>
    <xf numFmtId="0" fontId="13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4" fontId="6" fillId="0" borderId="2" xfId="0" applyNumberFormat="1" applyFont="1" applyFill="1" applyBorder="1" applyAlignment="1">
      <alignment horizontal="right"/>
    </xf>
    <xf numFmtId="2" fontId="23" fillId="0" borderId="0" xfId="0" applyNumberFormat="1" applyFont="1" applyBorder="1"/>
    <xf numFmtId="4" fontId="22" fillId="0" borderId="0" xfId="0" applyNumberFormat="1" applyFont="1" applyFill="1" applyBorder="1"/>
    <xf numFmtId="2" fontId="22" fillId="0" borderId="0" xfId="0" applyNumberFormat="1" applyFont="1" applyBorder="1"/>
    <xf numFmtId="4" fontId="29" fillId="4" borderId="2" xfId="0" applyNumberFormat="1" applyFont="1" applyFill="1" applyBorder="1"/>
    <xf numFmtId="4" fontId="30" fillId="4" borderId="2" xfId="0" applyNumberFormat="1" applyFont="1" applyFill="1" applyBorder="1"/>
    <xf numFmtId="4" fontId="31" fillId="2" borderId="2" xfId="0" applyNumberFormat="1" applyFont="1" applyFill="1" applyBorder="1"/>
    <xf numFmtId="4" fontId="13" fillId="4" borderId="2" xfId="0" applyNumberFormat="1" applyFont="1" applyFill="1" applyBorder="1"/>
    <xf numFmtId="4" fontId="11" fillId="2" borderId="2" xfId="0" applyNumberFormat="1" applyFont="1" applyFill="1" applyBorder="1"/>
    <xf numFmtId="4" fontId="29" fillId="12" borderId="2" xfId="0" applyNumberFormat="1" applyFont="1" applyFill="1" applyBorder="1"/>
    <xf numFmtId="4" fontId="31" fillId="4" borderId="2" xfId="0" applyNumberFormat="1" applyFont="1" applyFill="1" applyBorder="1"/>
    <xf numFmtId="4" fontId="29" fillId="11" borderId="2" xfId="0" applyNumberFormat="1" applyFont="1" applyFill="1" applyBorder="1"/>
    <xf numFmtId="4" fontId="29" fillId="5" borderId="2" xfId="0" applyNumberFormat="1" applyFont="1" applyFill="1" applyBorder="1"/>
    <xf numFmtId="4" fontId="29" fillId="2" borderId="2" xfId="0" applyNumberFormat="1" applyFont="1" applyFill="1" applyBorder="1"/>
    <xf numFmtId="49" fontId="26" fillId="12" borderId="0" xfId="0" applyNumberFormat="1" applyFont="1" applyFill="1" applyBorder="1" applyAlignment="1">
      <alignment horizontal="left" vertical="center" wrapText="1"/>
    </xf>
    <xf numFmtId="49" fontId="17" fillId="0" borderId="0" xfId="0" applyNumberFormat="1" applyFont="1" applyFill="1" applyBorder="1" applyAlignment="1">
      <alignment horizontal="left" vertical="center" wrapText="1"/>
    </xf>
    <xf numFmtId="0" fontId="6" fillId="17" borderId="4" xfId="0" applyFont="1" applyFill="1" applyBorder="1" applyAlignment="1">
      <alignment horizontal="center"/>
    </xf>
    <xf numFmtId="4" fontId="5" fillId="17" borderId="2" xfId="0" applyNumberFormat="1" applyFont="1" applyFill="1" applyBorder="1"/>
    <xf numFmtId="0" fontId="17" fillId="17" borderId="7" xfId="0" applyFont="1" applyFill="1" applyBorder="1"/>
    <xf numFmtId="0" fontId="17" fillId="17" borderId="7" xfId="0" applyFont="1" applyFill="1" applyBorder="1" applyAlignment="1">
      <alignment wrapText="1"/>
    </xf>
    <xf numFmtId="4" fontId="29" fillId="17" borderId="2" xfId="0" applyNumberFormat="1" applyFont="1" applyFill="1" applyBorder="1"/>
    <xf numFmtId="0" fontId="4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32" fillId="0" borderId="7" xfId="0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32" fillId="0" borderId="2" xfId="0" applyFont="1" applyFill="1" applyBorder="1" applyAlignment="1">
      <alignment horizontal="center" wrapText="1"/>
    </xf>
    <xf numFmtId="0" fontId="32" fillId="0" borderId="12" xfId="0" applyFont="1" applyFill="1" applyBorder="1" applyAlignment="1">
      <alignment horizontal="center" wrapText="1"/>
    </xf>
    <xf numFmtId="0" fontId="2" fillId="9" borderId="2" xfId="0" applyFont="1" applyFill="1" applyBorder="1" applyAlignment="1">
      <alignment wrapText="1"/>
    </xf>
    <xf numFmtId="0" fontId="3" fillId="0" borderId="2" xfId="0" applyFont="1" applyFill="1" applyBorder="1"/>
    <xf numFmtId="0" fontId="2" fillId="0" borderId="2" xfId="0" applyFont="1" applyFill="1" applyBorder="1"/>
    <xf numFmtId="0" fontId="33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3" fillId="5" borderId="2" xfId="0" applyFont="1" applyFill="1" applyBorder="1"/>
    <xf numFmtId="0" fontId="3" fillId="16" borderId="2" xfId="0" applyFont="1" applyFill="1" applyBorder="1"/>
    <xf numFmtId="0" fontId="3" fillId="2" borderId="2" xfId="0" applyFont="1" applyFill="1" applyBorder="1"/>
    <xf numFmtId="0" fontId="18" fillId="5" borderId="7" xfId="0" applyFont="1" applyFill="1" applyBorder="1" applyAlignment="1">
      <alignment wrapText="1"/>
    </xf>
    <xf numFmtId="0" fontId="17" fillId="17" borderId="14" xfId="0" applyFont="1" applyFill="1" applyBorder="1" applyAlignment="1">
      <alignment horizontal="left"/>
    </xf>
    <xf numFmtId="0" fontId="33" fillId="0" borderId="0" xfId="0" applyFont="1" applyFill="1" applyBorder="1"/>
    <xf numFmtId="0" fontId="3" fillId="15" borderId="2" xfId="0" applyFont="1" applyFill="1" applyBorder="1"/>
    <xf numFmtId="3" fontId="13" fillId="4" borderId="2" xfId="0" applyNumberFormat="1" applyFont="1" applyFill="1" applyBorder="1"/>
    <xf numFmtId="3" fontId="3" fillId="5" borderId="2" xfId="0" applyNumberFormat="1" applyFont="1" applyFill="1" applyBorder="1"/>
    <xf numFmtId="4" fontId="3" fillId="5" borderId="2" xfId="0" applyNumberFormat="1" applyFont="1" applyFill="1" applyBorder="1"/>
    <xf numFmtId="0" fontId="3" fillId="18" borderId="2" xfId="0" applyFont="1" applyFill="1" applyBorder="1"/>
    <xf numFmtId="4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wrapText="1"/>
    </xf>
    <xf numFmtId="0" fontId="34" fillId="2" borderId="9" xfId="0" applyFont="1" applyFill="1" applyBorder="1" applyAlignment="1">
      <alignment wrapText="1"/>
    </xf>
    <xf numFmtId="0" fontId="35" fillId="2" borderId="4" xfId="0" applyFont="1" applyFill="1" applyBorder="1" applyAlignment="1">
      <alignment horizontal="center"/>
    </xf>
    <xf numFmtId="4" fontId="16" fillId="0" borderId="2" xfId="0" applyNumberFormat="1" applyFont="1" applyFill="1" applyBorder="1"/>
    <xf numFmtId="0" fontId="36" fillId="0" borderId="7" xfId="0" applyFont="1" applyFill="1" applyBorder="1"/>
    <xf numFmtId="0" fontId="35" fillId="0" borderId="4" xfId="0" applyFont="1" applyFill="1" applyBorder="1" applyAlignment="1">
      <alignment horizontal="center"/>
    </xf>
    <xf numFmtId="0" fontId="37" fillId="0" borderId="4" xfId="0" applyFont="1" applyFill="1" applyBorder="1" applyAlignment="1">
      <alignment horizontal="center"/>
    </xf>
    <xf numFmtId="0" fontId="33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19" fillId="14" borderId="2" xfId="0" applyFont="1" applyFill="1" applyBorder="1"/>
    <xf numFmtId="0" fontId="4" fillId="0" borderId="2" xfId="0" applyFont="1" applyFill="1" applyBorder="1"/>
    <xf numFmtId="4" fontId="22" fillId="2" borderId="2" xfId="0" applyNumberFormat="1" applyFont="1" applyFill="1" applyBorder="1"/>
    <xf numFmtId="0" fontId="19" fillId="11" borderId="2" xfId="0" applyFont="1" applyFill="1" applyBorder="1"/>
    <xf numFmtId="0" fontId="23" fillId="12" borderId="2" xfId="0" applyFont="1" applyFill="1" applyBorder="1"/>
    <xf numFmtId="0" fontId="38" fillId="0" borderId="2" xfId="0" applyFont="1" applyFill="1" applyBorder="1"/>
    <xf numFmtId="0" fontId="22" fillId="0" borderId="2" xfId="1" applyNumberFormat="1" applyFont="1" applyFill="1" applyBorder="1" applyAlignment="1">
      <alignment horizontal="left" vertical="center" wrapText="1"/>
    </xf>
    <xf numFmtId="0" fontId="22" fillId="0" borderId="2" xfId="3" applyFont="1" applyFill="1" applyBorder="1" applyAlignment="1">
      <alignment wrapText="1"/>
    </xf>
    <xf numFmtId="0" fontId="22" fillId="0" borderId="2" xfId="3" applyFont="1" applyBorder="1" applyAlignment="1">
      <alignment wrapText="1"/>
    </xf>
    <xf numFmtId="49" fontId="22" fillId="0" borderId="2" xfId="1" applyNumberFormat="1" applyFont="1" applyFill="1" applyBorder="1" applyAlignment="1">
      <alignment horizontal="left" vertical="center" wrapText="1"/>
    </xf>
    <xf numFmtId="0" fontId="22" fillId="2" borderId="2" xfId="3" applyFont="1" applyFill="1" applyBorder="1"/>
    <xf numFmtId="0" fontId="38" fillId="0" borderId="2" xfId="1" applyNumberFormat="1" applyFont="1" applyFill="1" applyBorder="1" applyAlignment="1">
      <alignment horizontal="left" vertical="center" wrapText="1"/>
    </xf>
    <xf numFmtId="0" fontId="22" fillId="0" borderId="2" xfId="5" applyFont="1" applyBorder="1" applyAlignment="1">
      <alignment horizontal="left" vertical="center" wrapText="1"/>
    </xf>
    <xf numFmtId="0" fontId="39" fillId="2" borderId="2" xfId="1" applyNumberFormat="1" applyFont="1" applyFill="1" applyBorder="1" applyAlignment="1">
      <alignment horizontal="left" vertical="center" wrapText="1"/>
    </xf>
    <xf numFmtId="0" fontId="40" fillId="12" borderId="2" xfId="0" applyFont="1" applyFill="1" applyBorder="1" applyAlignment="1">
      <alignment wrapText="1"/>
    </xf>
    <xf numFmtId="0" fontId="38" fillId="19" borderId="2" xfId="0" applyFont="1" applyFill="1" applyBorder="1" applyAlignment="1">
      <alignment wrapText="1"/>
    </xf>
    <xf numFmtId="0" fontId="38" fillId="0" borderId="2" xfId="0" applyFont="1" applyBorder="1"/>
    <xf numFmtId="0" fontId="18" fillId="2" borderId="2" xfId="3" applyFont="1" applyFill="1" applyBorder="1" applyAlignment="1">
      <alignment wrapText="1"/>
    </xf>
    <xf numFmtId="0" fontId="38" fillId="12" borderId="2" xfId="0" applyFont="1" applyFill="1" applyBorder="1"/>
    <xf numFmtId="0" fontId="23" fillId="19" borderId="2" xfId="0" applyFont="1" applyFill="1" applyBorder="1"/>
    <xf numFmtId="0" fontId="22" fillId="2" borderId="2" xfId="3" applyFont="1" applyFill="1" applyBorder="1" applyAlignment="1">
      <alignment wrapText="1"/>
    </xf>
    <xf numFmtId="2" fontId="38" fillId="19" borderId="2" xfId="0" applyNumberFormat="1" applyFont="1" applyFill="1" applyBorder="1"/>
    <xf numFmtId="4" fontId="39" fillId="2" borderId="2" xfId="3" applyNumberFormat="1" applyFont="1" applyFill="1" applyBorder="1"/>
    <xf numFmtId="4" fontId="39" fillId="2" borderId="2" xfId="3" applyNumberFormat="1" applyFont="1" applyFill="1" applyBorder="1" applyAlignment="1">
      <alignment horizontal="center" wrapText="1"/>
    </xf>
    <xf numFmtId="4" fontId="39" fillId="2" borderId="2" xfId="3" applyNumberFormat="1" applyFont="1" applyFill="1" applyBorder="1" applyAlignment="1">
      <alignment wrapText="1"/>
    </xf>
    <xf numFmtId="0" fontId="40" fillId="0" borderId="2" xfId="0" applyFont="1" applyFill="1" applyBorder="1"/>
    <xf numFmtId="0" fontId="38" fillId="19" borderId="2" xfId="5" applyFont="1" applyFill="1" applyBorder="1"/>
    <xf numFmtId="0" fontId="38" fillId="0" borderId="2" xfId="5" applyFont="1" applyBorder="1"/>
    <xf numFmtId="0" fontId="38" fillId="19" borderId="2" xfId="5" applyFont="1" applyFill="1" applyBorder="1" applyAlignment="1">
      <alignment wrapText="1"/>
    </xf>
    <xf numFmtId="0" fontId="23" fillId="19" borderId="2" xfId="5" applyFont="1" applyFill="1" applyBorder="1"/>
    <xf numFmtId="0" fontId="41" fillId="2" borderId="2" xfId="3" applyFont="1" applyFill="1" applyBorder="1"/>
    <xf numFmtId="2" fontId="38" fillId="19" borderId="2" xfId="5" applyNumberFormat="1" applyFont="1" applyFill="1" applyBorder="1" applyAlignment="1">
      <alignment horizontal="left"/>
    </xf>
    <xf numFmtId="0" fontId="23" fillId="0" borderId="2" xfId="0" applyFont="1" applyBorder="1"/>
    <xf numFmtId="0" fontId="38" fillId="0" borderId="2" xfId="0" applyFont="1" applyFill="1" applyBorder="1" applyAlignment="1">
      <alignment wrapText="1"/>
    </xf>
    <xf numFmtId="0" fontId="41" fillId="2" borderId="2" xfId="3" applyFont="1" applyFill="1" applyBorder="1" applyAlignment="1">
      <alignment wrapText="1"/>
    </xf>
    <xf numFmtId="0" fontId="41" fillId="0" borderId="2" xfId="3" applyFont="1" applyBorder="1" applyAlignment="1">
      <alignment horizontal="left" vertical="center" wrapText="1"/>
    </xf>
    <xf numFmtId="0" fontId="22" fillId="6" borderId="2" xfId="2" applyFont="1" applyFill="1" applyBorder="1" applyAlignment="1">
      <alignment horizontal="left" wrapText="1"/>
    </xf>
    <xf numFmtId="0" fontId="22" fillId="2" borderId="2" xfId="3" applyFont="1" applyFill="1" applyBorder="1" applyAlignment="1">
      <alignment horizontal="left" vertical="center" wrapText="1"/>
    </xf>
    <xf numFmtId="0" fontId="22" fillId="6" borderId="2" xfId="3" applyFont="1" applyFill="1" applyBorder="1" applyAlignment="1">
      <alignment horizontal="left" vertical="center" wrapText="1"/>
    </xf>
    <xf numFmtId="0" fontId="22" fillId="0" borderId="2" xfId="3" applyFont="1" applyFill="1" applyBorder="1" applyAlignment="1">
      <alignment horizontal="left" wrapText="1"/>
    </xf>
    <xf numFmtId="0" fontId="22" fillId="2" borderId="2" xfId="5" applyFont="1" applyFill="1" applyBorder="1" applyAlignment="1">
      <alignment horizontal="left" vertical="center" wrapText="1"/>
    </xf>
    <xf numFmtId="0" fontId="39" fillId="2" borderId="2" xfId="3" applyFont="1" applyFill="1" applyBorder="1" applyAlignment="1">
      <alignment horizontal="left" wrapText="1"/>
    </xf>
    <xf numFmtId="0" fontId="3" fillId="5" borderId="0" xfId="0" applyFont="1" applyFill="1"/>
    <xf numFmtId="0" fontId="26" fillId="0" borderId="12" xfId="0" applyFont="1" applyFill="1" applyBorder="1" applyAlignment="1">
      <alignment horizontal="center" wrapText="1"/>
    </xf>
    <xf numFmtId="0" fontId="26" fillId="0" borderId="2" xfId="0" applyFont="1" applyFill="1" applyBorder="1" applyAlignment="1">
      <alignment horizontal="center"/>
    </xf>
    <xf numFmtId="4" fontId="4" fillId="0" borderId="0" xfId="0" applyNumberFormat="1" applyFont="1" applyFill="1" applyBorder="1"/>
    <xf numFmtId="4" fontId="42" fillId="2" borderId="0" xfId="3" applyNumberFormat="1" applyFont="1" applyFill="1" applyBorder="1" applyAlignment="1">
      <alignment horizontal="right"/>
    </xf>
    <xf numFmtId="4" fontId="42" fillId="2" borderId="0" xfId="3" applyNumberFormat="1" applyFont="1" applyFill="1" applyBorder="1"/>
    <xf numFmtId="4" fontId="42" fillId="2" borderId="0" xfId="3" applyNumberFormat="1" applyFont="1" applyFill="1" applyBorder="1" applyAlignment="1">
      <alignment wrapText="1"/>
    </xf>
    <xf numFmtId="4" fontId="44" fillId="0" borderId="0" xfId="3" applyNumberFormat="1" applyFont="1" applyFill="1" applyBorder="1"/>
    <xf numFmtId="4" fontId="44" fillId="2" borderId="0" xfId="3" applyNumberFormat="1" applyFont="1" applyFill="1" applyBorder="1"/>
    <xf numFmtId="4" fontId="43" fillId="2" borderId="0" xfId="5" applyNumberFormat="1" applyFont="1" applyFill="1" applyBorder="1"/>
    <xf numFmtId="4" fontId="43" fillId="2" borderId="0" xfId="3" applyNumberFormat="1" applyFont="1" applyFill="1" applyBorder="1"/>
    <xf numFmtId="4" fontId="4" fillId="0" borderId="0" xfId="0" applyNumberFormat="1" applyFont="1" applyFill="1"/>
    <xf numFmtId="4" fontId="43" fillId="0" borderId="0" xfId="3" applyNumberFormat="1" applyFont="1" applyFill="1" applyBorder="1"/>
    <xf numFmtId="4" fontId="4" fillId="0" borderId="2" xfId="0" applyNumberFormat="1" applyFont="1" applyFill="1" applyBorder="1"/>
    <xf numFmtId="4" fontId="11" fillId="5" borderId="2" xfId="0" applyNumberFormat="1" applyFont="1" applyFill="1" applyBorder="1"/>
    <xf numFmtId="4" fontId="6" fillId="2" borderId="2" xfId="0" applyNumberFormat="1" applyFont="1" applyFill="1" applyBorder="1"/>
    <xf numFmtId="4" fontId="4" fillId="5" borderId="2" xfId="0" applyNumberFormat="1" applyFont="1" applyFill="1" applyBorder="1"/>
    <xf numFmtId="4" fontId="11" fillId="4" borderId="2" xfId="0" applyNumberFormat="1" applyFont="1" applyFill="1" applyBorder="1"/>
    <xf numFmtId="4" fontId="11" fillId="12" borderId="2" xfId="0" applyNumberFormat="1" applyFont="1" applyFill="1" applyBorder="1"/>
    <xf numFmtId="4" fontId="11" fillId="0" borderId="2" xfId="0" applyNumberFormat="1" applyFont="1" applyFill="1" applyBorder="1"/>
    <xf numFmtId="4" fontId="6" fillId="0" borderId="2" xfId="0" applyNumberFormat="1" applyFont="1" applyFill="1" applyBorder="1"/>
    <xf numFmtId="4" fontId="6" fillId="11" borderId="2" xfId="0" applyNumberFormat="1" applyFont="1" applyFill="1" applyBorder="1"/>
    <xf numFmtId="4" fontId="11" fillId="8" borderId="2" xfId="0" applyNumberFormat="1" applyFont="1" applyFill="1" applyBorder="1"/>
    <xf numFmtId="4" fontId="6" fillId="5" borderId="2" xfId="0" applyNumberFormat="1" applyFont="1" applyFill="1" applyBorder="1"/>
    <xf numFmtId="4" fontId="13" fillId="2" borderId="2" xfId="0" applyNumberFormat="1" applyFont="1" applyFill="1" applyBorder="1"/>
    <xf numFmtId="4" fontId="6" fillId="12" borderId="2" xfId="0" applyNumberFormat="1" applyFont="1" applyFill="1" applyBorder="1"/>
    <xf numFmtId="4" fontId="6" fillId="14" borderId="2" xfId="0" applyNumberFormat="1" applyFont="1" applyFill="1" applyBorder="1"/>
    <xf numFmtId="4" fontId="11" fillId="13" borderId="2" xfId="0" applyNumberFormat="1" applyFont="1" applyFill="1" applyBorder="1"/>
    <xf numFmtId="4" fontId="11" fillId="9" borderId="2" xfId="0" applyNumberFormat="1" applyFont="1" applyFill="1" applyBorder="1"/>
    <xf numFmtId="4" fontId="6" fillId="9" borderId="2" xfId="0" applyNumberFormat="1" applyFont="1" applyFill="1" applyBorder="1"/>
    <xf numFmtId="4" fontId="6" fillId="17" borderId="2" xfId="0" applyNumberFormat="1" applyFont="1" applyFill="1" applyBorder="1"/>
    <xf numFmtId="4" fontId="13" fillId="5" borderId="2" xfId="0" applyNumberFormat="1" applyFont="1" applyFill="1" applyBorder="1"/>
    <xf numFmtId="4" fontId="26" fillId="0" borderId="2" xfId="0" applyNumberFormat="1" applyFont="1" applyFill="1" applyBorder="1"/>
    <xf numFmtId="4" fontId="4" fillId="18" borderId="2" xfId="0" applyNumberFormat="1" applyFont="1" applyFill="1" applyBorder="1"/>
    <xf numFmtId="4" fontId="45" fillId="0" borderId="2" xfId="0" applyNumberFormat="1" applyFont="1" applyFill="1" applyBorder="1"/>
    <xf numFmtId="4" fontId="37" fillId="0" borderId="2" xfId="0" applyNumberFormat="1" applyFont="1" applyFill="1" applyBorder="1"/>
    <xf numFmtId="4" fontId="13" fillId="7" borderId="2" xfId="0" applyNumberFormat="1" applyFont="1" applyFill="1" applyBorder="1"/>
    <xf numFmtId="4" fontId="42" fillId="2" borderId="2" xfId="3" applyNumberFormat="1" applyFont="1" applyFill="1" applyBorder="1" applyAlignment="1">
      <alignment horizontal="right"/>
    </xf>
    <xf numFmtId="4" fontId="42" fillId="2" borderId="2" xfId="3" applyNumberFormat="1" applyFont="1" applyFill="1" applyBorder="1"/>
    <xf numFmtId="4" fontId="43" fillId="0" borderId="2" xfId="3" applyNumberFormat="1" applyFont="1" applyFill="1" applyBorder="1"/>
    <xf numFmtId="4" fontId="42" fillId="2" borderId="2" xfId="3" applyNumberFormat="1" applyFont="1" applyFill="1" applyBorder="1" applyAlignment="1">
      <alignment wrapText="1"/>
    </xf>
    <xf numFmtId="4" fontId="44" fillId="0" borderId="2" xfId="3" applyNumberFormat="1" applyFont="1" applyFill="1" applyBorder="1"/>
    <xf numFmtId="4" fontId="44" fillId="2" borderId="2" xfId="3" applyNumberFormat="1" applyFont="1" applyFill="1" applyBorder="1"/>
    <xf numFmtId="4" fontId="43" fillId="2" borderId="2" xfId="5" applyNumberFormat="1" applyFont="1" applyFill="1" applyBorder="1"/>
    <xf numFmtId="4" fontId="43" fillId="2" borderId="2" xfId="3" applyNumberFormat="1" applyFont="1" applyFill="1" applyBorder="1"/>
    <xf numFmtId="0" fontId="6" fillId="0" borderId="0" xfId="0" applyFont="1" applyFill="1" applyAlignment="1">
      <alignment horizontal="right"/>
    </xf>
    <xf numFmtId="4" fontId="4" fillId="2" borderId="2" xfId="0" applyNumberFormat="1" applyFont="1" applyFill="1" applyBorder="1"/>
    <xf numFmtId="0" fontId="2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0" fontId="9" fillId="0" borderId="0" xfId="0" applyFont="1" applyAlignment="1"/>
    <xf numFmtId="0" fontId="7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6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21"/>
  <sheetViews>
    <sheetView tabSelected="1" zoomScale="115" zoomScaleNormal="115" workbookViewId="0">
      <pane xSplit="3" ySplit="12" topLeftCell="L687" activePane="bottomRight" state="frozen"/>
      <selection pane="topRight" activeCell="D1" sqref="D1"/>
      <selection pane="bottomLeft" activeCell="A12" sqref="A12"/>
      <selection pane="bottomRight" activeCell="S2" sqref="S2"/>
    </sheetView>
  </sheetViews>
  <sheetFormatPr defaultRowHeight="12.75"/>
  <cols>
    <col min="1" max="1" width="4.7109375" style="2" customWidth="1"/>
    <col min="2" max="2" width="43.85546875" style="2" customWidth="1"/>
    <col min="3" max="3" width="7.140625" style="3" customWidth="1"/>
    <col min="4" max="4" width="14" style="2" hidden="1" customWidth="1"/>
    <col min="5" max="5" width="11.140625" style="2" hidden="1" customWidth="1"/>
    <col min="6" max="6" width="11.28515625" style="2" hidden="1" customWidth="1"/>
    <col min="7" max="7" width="12.140625" style="2" hidden="1" customWidth="1"/>
    <col min="8" max="8" width="11.7109375" style="2" hidden="1" customWidth="1"/>
    <col min="9" max="9" width="10.85546875" style="2" hidden="1" customWidth="1"/>
    <col min="10" max="10" width="12.140625" style="2" hidden="1" customWidth="1"/>
    <col min="11" max="11" width="20.140625" style="2" hidden="1" customWidth="1"/>
    <col min="12" max="12" width="12.5703125" style="2" customWidth="1"/>
    <col min="13" max="13" width="10.28515625" style="2" customWidth="1"/>
    <col min="14" max="14" width="9" style="2" customWidth="1"/>
    <col min="15" max="15" width="9.5703125" style="2" customWidth="1"/>
    <col min="16" max="16" width="9.140625" style="2" customWidth="1"/>
    <col min="17" max="17" width="6.7109375" style="3" hidden="1" customWidth="1"/>
    <col min="18" max="18" width="3.28515625" style="3" hidden="1" customWidth="1"/>
    <col min="19" max="19" width="9.140625" style="2" customWidth="1"/>
    <col min="20" max="20" width="10.42578125" style="2" customWidth="1"/>
    <col min="21" max="21" width="8.42578125" style="2" customWidth="1"/>
    <col min="22" max="16384" width="9.140625" style="2"/>
  </cols>
  <sheetData>
    <row r="1" spans="1:21" s="1" customFormat="1" ht="15.75">
      <c r="A1" s="160" t="s">
        <v>570</v>
      </c>
      <c r="B1" s="161"/>
      <c r="C1" s="161"/>
      <c r="D1" s="4"/>
      <c r="E1" s="4"/>
      <c r="F1" s="4"/>
      <c r="G1" s="4"/>
      <c r="H1" s="4"/>
      <c r="I1" s="4"/>
      <c r="K1" s="4"/>
      <c r="L1" s="4"/>
      <c r="M1" s="4"/>
      <c r="N1" s="4"/>
      <c r="O1" s="4"/>
      <c r="P1" s="4"/>
      <c r="Q1" s="4"/>
      <c r="R1" s="4" t="s">
        <v>726</v>
      </c>
      <c r="S1" s="4" t="s">
        <v>726</v>
      </c>
    </row>
    <row r="2" spans="1:21" ht="15.75">
      <c r="A2" s="160" t="s">
        <v>571</v>
      </c>
      <c r="B2" s="319" t="s">
        <v>573</v>
      </c>
      <c r="C2" s="319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 t="s">
        <v>727</v>
      </c>
      <c r="S2" s="6" t="s">
        <v>738</v>
      </c>
      <c r="T2" s="225"/>
    </row>
    <row r="3" spans="1:21" ht="15.75">
      <c r="A3" s="160" t="s">
        <v>572</v>
      </c>
      <c r="B3" s="162"/>
      <c r="C3" s="162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1" ht="33.75" customHeight="1">
      <c r="A4" s="5"/>
      <c r="B4" s="202"/>
      <c r="C4" s="314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1" ht="18" customHeight="1">
      <c r="A5" s="329" t="s">
        <v>728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6"/>
    </row>
    <row r="6" spans="1:21" ht="13.5" customHeight="1">
      <c r="A6" s="331" t="s">
        <v>729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6"/>
    </row>
    <row r="7" spans="1:21" ht="13.5" customHeight="1">
      <c r="A7" s="7"/>
      <c r="B7" s="333" t="s">
        <v>730</v>
      </c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6"/>
    </row>
    <row r="8" spans="1:21" ht="13.5" customHeight="1">
      <c r="A8" s="7"/>
      <c r="B8" s="8"/>
      <c r="C8" s="9"/>
      <c r="D8" s="6"/>
      <c r="E8" s="6"/>
      <c r="F8" s="6"/>
      <c r="G8" s="6"/>
      <c r="H8" s="6"/>
      <c r="I8" s="6"/>
      <c r="J8" s="10"/>
      <c r="K8" s="10"/>
      <c r="L8" s="10"/>
      <c r="M8" s="10"/>
      <c r="N8" s="10"/>
      <c r="O8" s="10"/>
      <c r="P8" s="10"/>
      <c r="Q8" s="6"/>
      <c r="R8" s="6"/>
      <c r="S8" s="10" t="s">
        <v>647</v>
      </c>
    </row>
    <row r="9" spans="1:21">
      <c r="A9" s="7"/>
      <c r="B9" s="8"/>
      <c r="C9" s="9"/>
      <c r="D9" s="6"/>
      <c r="F9" s="10"/>
      <c r="G9" s="10"/>
      <c r="H9" s="10"/>
      <c r="L9" s="226"/>
      <c r="M9" s="226"/>
      <c r="N9" s="226"/>
      <c r="O9" s="226"/>
      <c r="U9" s="226"/>
    </row>
    <row r="10" spans="1:21" ht="28.5" customHeight="1">
      <c r="A10" s="320" t="s">
        <v>0</v>
      </c>
      <c r="B10" s="322" t="s">
        <v>1</v>
      </c>
      <c r="C10" s="324" t="s">
        <v>2</v>
      </c>
      <c r="D10" s="150" t="s">
        <v>540</v>
      </c>
      <c r="E10" s="200" t="s">
        <v>623</v>
      </c>
      <c r="F10" s="201" t="s">
        <v>636</v>
      </c>
      <c r="G10" s="201" t="s">
        <v>621</v>
      </c>
      <c r="H10" s="201" t="s">
        <v>622</v>
      </c>
      <c r="I10" s="215" t="s">
        <v>633</v>
      </c>
      <c r="J10" s="215" t="s">
        <v>634</v>
      </c>
      <c r="K10" s="215" t="s">
        <v>635</v>
      </c>
      <c r="L10" s="223" t="s">
        <v>645</v>
      </c>
      <c r="M10" s="326" t="s">
        <v>724</v>
      </c>
      <c r="N10" s="327"/>
      <c r="O10" s="327"/>
      <c r="P10" s="328"/>
      <c r="Q10" s="270"/>
      <c r="R10" s="270"/>
      <c r="S10" s="316" t="s">
        <v>624</v>
      </c>
      <c r="T10" s="317"/>
      <c r="U10" s="318"/>
    </row>
    <row r="11" spans="1:21" ht="23.25" customHeight="1">
      <c r="A11" s="321"/>
      <c r="B11" s="323"/>
      <c r="C11" s="325"/>
      <c r="D11" s="11">
        <v>2019</v>
      </c>
      <c r="E11" s="200">
        <v>2020</v>
      </c>
      <c r="F11" s="201">
        <v>2020</v>
      </c>
      <c r="G11" s="201">
        <v>2020</v>
      </c>
      <c r="H11" s="201">
        <v>2020</v>
      </c>
      <c r="I11" s="200">
        <v>2021</v>
      </c>
      <c r="J11" s="200">
        <v>2021</v>
      </c>
      <c r="K11" s="200">
        <v>2021</v>
      </c>
      <c r="L11" s="224">
        <v>2021</v>
      </c>
      <c r="M11" s="224" t="s">
        <v>3</v>
      </c>
      <c r="N11" s="224" t="s">
        <v>4</v>
      </c>
      <c r="O11" s="224" t="s">
        <v>5</v>
      </c>
      <c r="P11" s="224" t="s">
        <v>6</v>
      </c>
      <c r="Q11" s="271"/>
      <c r="R11" s="271"/>
      <c r="S11" s="224">
        <v>2022</v>
      </c>
      <c r="T11" s="224">
        <v>2023</v>
      </c>
      <c r="U11" s="224">
        <v>2024</v>
      </c>
    </row>
    <row r="12" spans="1:21" ht="22.5" customHeight="1">
      <c r="A12" s="22"/>
      <c r="B12" s="23" t="s">
        <v>574</v>
      </c>
      <c r="C12" s="81"/>
      <c r="D12" s="65">
        <f t="shared" ref="D12:U12" si="0">D15+D18+D39+D74+D100+D13+D98</f>
        <v>323605.79000000004</v>
      </c>
      <c r="E12" s="65">
        <f t="shared" ref="E12:F12" si="1">E15+E18+E39+E74+E100+E13+E98</f>
        <v>320159.90999999997</v>
      </c>
      <c r="F12" s="65">
        <f t="shared" si="1"/>
        <v>386129.83999999997</v>
      </c>
      <c r="G12" s="65">
        <f t="shared" si="0"/>
        <v>328409</v>
      </c>
      <c r="H12" s="65">
        <f t="shared" si="0"/>
        <v>386129.83999999997</v>
      </c>
      <c r="I12" s="65">
        <f t="shared" si="0"/>
        <v>504821.08428571431</v>
      </c>
      <c r="J12" s="65">
        <f t="shared" si="0"/>
        <v>524825</v>
      </c>
      <c r="K12" s="65">
        <f t="shared" ref="K12:L12" si="2">K15+K18+K39+K74+K100+K13+K98</f>
        <v>132282.37</v>
      </c>
      <c r="L12" s="117">
        <f t="shared" si="2"/>
        <v>409144</v>
      </c>
      <c r="M12" s="117">
        <f t="shared" ref="M12:P12" si="3">M15+M18+M39+M74+M100+M13+M98</f>
        <v>108715</v>
      </c>
      <c r="N12" s="117">
        <f t="shared" si="3"/>
        <v>107256</v>
      </c>
      <c r="O12" s="117">
        <f t="shared" si="3"/>
        <v>106662</v>
      </c>
      <c r="P12" s="117">
        <f t="shared" si="3"/>
        <v>86511</v>
      </c>
      <c r="Q12" s="117">
        <f>M12+N12+O12+P12</f>
        <v>409144</v>
      </c>
      <c r="R12" s="117">
        <f>L12-Q12</f>
        <v>0</v>
      </c>
      <c r="S12" s="117">
        <f t="shared" si="0"/>
        <v>495684</v>
      </c>
      <c r="T12" s="117">
        <f t="shared" si="0"/>
        <v>365527</v>
      </c>
      <c r="U12" s="117">
        <f t="shared" si="0"/>
        <v>298148</v>
      </c>
    </row>
    <row r="13" spans="1:21" ht="14.25">
      <c r="A13" s="19" t="s">
        <v>7</v>
      </c>
      <c r="B13" s="24" t="s">
        <v>8</v>
      </c>
      <c r="C13" s="82">
        <v>1.02</v>
      </c>
      <c r="D13" s="65">
        <f t="shared" ref="D13:U13" si="4">D14</f>
        <v>107.65</v>
      </c>
      <c r="E13" s="65">
        <f t="shared" si="4"/>
        <v>332</v>
      </c>
      <c r="F13" s="65">
        <f t="shared" si="4"/>
        <v>300</v>
      </c>
      <c r="G13" s="65">
        <f t="shared" si="4"/>
        <v>300</v>
      </c>
      <c r="H13" s="65">
        <f t="shared" si="4"/>
        <v>300</v>
      </c>
      <c r="I13" s="65">
        <f t="shared" si="4"/>
        <v>400</v>
      </c>
      <c r="J13" s="65">
        <f t="shared" si="4"/>
        <v>400</v>
      </c>
      <c r="K13" s="65">
        <f t="shared" si="4"/>
        <v>0</v>
      </c>
      <c r="L13" s="117">
        <f t="shared" si="4"/>
        <v>400</v>
      </c>
      <c r="M13" s="117">
        <f t="shared" si="4"/>
        <v>0</v>
      </c>
      <c r="N13" s="117">
        <f t="shared" si="4"/>
        <v>200</v>
      </c>
      <c r="O13" s="117">
        <f t="shared" si="4"/>
        <v>200</v>
      </c>
      <c r="P13" s="117">
        <f t="shared" si="4"/>
        <v>0</v>
      </c>
      <c r="Q13" s="117">
        <f t="shared" ref="Q13:Q76" si="5">M13+N13+O13+P13</f>
        <v>400</v>
      </c>
      <c r="R13" s="117">
        <f t="shared" ref="R13:R76" si="6">L13-Q13</f>
        <v>0</v>
      </c>
      <c r="S13" s="117">
        <f t="shared" si="4"/>
        <v>420</v>
      </c>
      <c r="T13" s="117">
        <f t="shared" si="4"/>
        <v>445</v>
      </c>
      <c r="U13" s="117">
        <f t="shared" si="4"/>
        <v>470</v>
      </c>
    </row>
    <row r="14" spans="1:21" ht="15">
      <c r="A14" s="19"/>
      <c r="B14" s="25" t="s">
        <v>9</v>
      </c>
      <c r="C14" s="83" t="s">
        <v>10</v>
      </c>
      <c r="D14" s="68">
        <v>107.65</v>
      </c>
      <c r="E14" s="197">
        <v>332</v>
      </c>
      <c r="F14" s="68">
        <v>300</v>
      </c>
      <c r="G14" s="68">
        <v>300</v>
      </c>
      <c r="H14" s="68">
        <v>300</v>
      </c>
      <c r="I14" s="197">
        <v>400</v>
      </c>
      <c r="J14" s="197">
        <v>400</v>
      </c>
      <c r="K14" s="197"/>
      <c r="L14" s="282">
        <v>400</v>
      </c>
      <c r="M14" s="282">
        <v>0</v>
      </c>
      <c r="N14" s="282">
        <v>200</v>
      </c>
      <c r="O14" s="282">
        <v>200</v>
      </c>
      <c r="P14" s="282">
        <v>0</v>
      </c>
      <c r="Q14" s="117">
        <f t="shared" si="5"/>
        <v>400</v>
      </c>
      <c r="R14" s="117">
        <f t="shared" si="6"/>
        <v>0</v>
      </c>
      <c r="S14" s="282">
        <v>420</v>
      </c>
      <c r="T14" s="282">
        <v>445</v>
      </c>
      <c r="U14" s="282">
        <v>470</v>
      </c>
    </row>
    <row r="15" spans="1:21" ht="28.5">
      <c r="A15" s="19" t="s">
        <v>11</v>
      </c>
      <c r="B15" s="31" t="s">
        <v>12</v>
      </c>
      <c r="C15" s="84">
        <v>4.0199999999999996</v>
      </c>
      <c r="D15" s="67">
        <f t="shared" ref="D15:U15" si="7">D16+D17</f>
        <v>159549.5</v>
      </c>
      <c r="E15" s="175">
        <f t="shared" ref="E15:F15" si="8">E16+E17</f>
        <v>112225.72</v>
      </c>
      <c r="F15" s="175">
        <f t="shared" si="8"/>
        <v>128113</v>
      </c>
      <c r="G15" s="175">
        <f t="shared" si="7"/>
        <v>124730</v>
      </c>
      <c r="H15" s="175">
        <f t="shared" si="7"/>
        <v>128113</v>
      </c>
      <c r="I15" s="210">
        <f t="shared" si="7"/>
        <v>128374.71428571428</v>
      </c>
      <c r="J15" s="175">
        <f t="shared" si="7"/>
        <v>128375</v>
      </c>
      <c r="K15" s="210">
        <f t="shared" ref="K15:L15" si="9">K16+K17</f>
        <v>0</v>
      </c>
      <c r="L15" s="175">
        <f t="shared" si="9"/>
        <v>126006</v>
      </c>
      <c r="M15" s="175">
        <f t="shared" ref="M15:P15" si="10">M16+M17</f>
        <v>27500</v>
      </c>
      <c r="N15" s="175">
        <f t="shared" si="10"/>
        <v>39000</v>
      </c>
      <c r="O15" s="175">
        <f t="shared" si="10"/>
        <v>37000</v>
      </c>
      <c r="P15" s="175">
        <f t="shared" si="10"/>
        <v>22506</v>
      </c>
      <c r="Q15" s="117">
        <f t="shared" si="5"/>
        <v>126006</v>
      </c>
      <c r="R15" s="117">
        <f t="shared" si="6"/>
        <v>0</v>
      </c>
      <c r="S15" s="175">
        <f t="shared" si="7"/>
        <v>144606</v>
      </c>
      <c r="T15" s="175">
        <f t="shared" si="7"/>
        <v>152118</v>
      </c>
      <c r="U15" s="175">
        <f t="shared" si="7"/>
        <v>159630</v>
      </c>
    </row>
    <row r="16" spans="1:21" ht="14.25" customHeight="1">
      <c r="A16" s="19"/>
      <c r="B16" s="27" t="s">
        <v>725</v>
      </c>
      <c r="C16" s="12" t="s">
        <v>13</v>
      </c>
      <c r="D16" s="68">
        <v>97121</v>
      </c>
      <c r="E16" s="197">
        <v>98321</v>
      </c>
      <c r="F16" s="176">
        <v>112380</v>
      </c>
      <c r="G16" s="176">
        <v>108461</v>
      </c>
      <c r="H16" s="176">
        <v>112380</v>
      </c>
      <c r="I16" s="211">
        <f>95700/14*15</f>
        <v>102535.71428571428</v>
      </c>
      <c r="J16" s="197">
        <v>102536</v>
      </c>
      <c r="K16" s="211"/>
      <c r="L16" s="282">
        <v>110532</v>
      </c>
      <c r="M16" s="282">
        <v>27500</v>
      </c>
      <c r="N16" s="282">
        <v>32000</v>
      </c>
      <c r="O16" s="282">
        <f>33000-1000</f>
        <v>32000</v>
      </c>
      <c r="P16" s="282">
        <f>18032+1000</f>
        <v>19032</v>
      </c>
      <c r="Q16" s="117">
        <f t="shared" si="5"/>
        <v>110532</v>
      </c>
      <c r="R16" s="117">
        <f t="shared" si="6"/>
        <v>0</v>
      </c>
      <c r="S16" s="282">
        <v>115500</v>
      </c>
      <c r="T16" s="282">
        <v>121500</v>
      </c>
      <c r="U16" s="282">
        <v>127500</v>
      </c>
    </row>
    <row r="17" spans="1:21" ht="27" customHeight="1">
      <c r="A17" s="19"/>
      <c r="B17" s="28" t="s">
        <v>608</v>
      </c>
      <c r="C17" s="12" t="s">
        <v>14</v>
      </c>
      <c r="D17" s="68">
        <v>62428.5</v>
      </c>
      <c r="E17" s="197">
        <v>13904.72</v>
      </c>
      <c r="F17" s="176">
        <v>15733</v>
      </c>
      <c r="G17" s="176">
        <v>16269</v>
      </c>
      <c r="H17" s="176">
        <v>15733</v>
      </c>
      <c r="I17" s="197">
        <v>25839</v>
      </c>
      <c r="J17" s="197">
        <v>25839</v>
      </c>
      <c r="K17" s="197"/>
      <c r="L17" s="282">
        <v>15474</v>
      </c>
      <c r="M17" s="282">
        <v>0</v>
      </c>
      <c r="N17" s="282">
        <v>7000</v>
      </c>
      <c r="O17" s="282">
        <v>5000</v>
      </c>
      <c r="P17" s="282">
        <v>3474</v>
      </c>
      <c r="Q17" s="117">
        <f t="shared" si="5"/>
        <v>15474</v>
      </c>
      <c r="R17" s="117">
        <f t="shared" si="6"/>
        <v>0</v>
      </c>
      <c r="S17" s="282">
        <v>29106</v>
      </c>
      <c r="T17" s="282">
        <v>30618</v>
      </c>
      <c r="U17" s="282">
        <v>32130</v>
      </c>
    </row>
    <row r="18" spans="1:21" ht="14.25">
      <c r="A18" s="19" t="s">
        <v>15</v>
      </c>
      <c r="B18" s="26" t="s">
        <v>575</v>
      </c>
      <c r="C18" s="12" t="s">
        <v>17</v>
      </c>
      <c r="D18" s="67">
        <f t="shared" ref="D18:U18" si="11">D19+D36+D37+D38</f>
        <v>135935</v>
      </c>
      <c r="E18" s="175">
        <f t="shared" ref="E18:F18" si="12">E19+E36+E37+E38</f>
        <v>147465.04</v>
      </c>
      <c r="F18" s="175">
        <f t="shared" si="12"/>
        <v>149953</v>
      </c>
      <c r="G18" s="175">
        <f t="shared" si="11"/>
        <v>112486</v>
      </c>
      <c r="H18" s="175">
        <f t="shared" si="11"/>
        <v>149953</v>
      </c>
      <c r="I18" s="175">
        <f t="shared" si="11"/>
        <v>230464.6</v>
      </c>
      <c r="J18" s="175">
        <f t="shared" si="11"/>
        <v>230465</v>
      </c>
      <c r="K18" s="175">
        <f t="shared" ref="K18:L18" si="13">K19+K36+K37+K38</f>
        <v>17109.599999999999</v>
      </c>
      <c r="L18" s="175">
        <f t="shared" si="13"/>
        <v>134460</v>
      </c>
      <c r="M18" s="175">
        <f t="shared" ref="M18:P18" si="14">M19+M36+M37+M38</f>
        <v>39440</v>
      </c>
      <c r="N18" s="175">
        <f t="shared" si="14"/>
        <v>29710</v>
      </c>
      <c r="O18" s="175">
        <f t="shared" si="14"/>
        <v>34000</v>
      </c>
      <c r="P18" s="175">
        <f t="shared" si="14"/>
        <v>31310</v>
      </c>
      <c r="Q18" s="117">
        <f t="shared" si="5"/>
        <v>134460</v>
      </c>
      <c r="R18" s="117">
        <f t="shared" si="6"/>
        <v>0</v>
      </c>
      <c r="S18" s="175">
        <f t="shared" si="11"/>
        <v>136995</v>
      </c>
      <c r="T18" s="175">
        <f t="shared" si="11"/>
        <v>130257</v>
      </c>
      <c r="U18" s="175">
        <f t="shared" si="11"/>
        <v>123518</v>
      </c>
    </row>
    <row r="19" spans="1:21" ht="26.25" customHeight="1">
      <c r="A19" s="30">
        <v>1</v>
      </c>
      <c r="B19" s="31" t="s">
        <v>429</v>
      </c>
      <c r="C19" s="12" t="s">
        <v>18</v>
      </c>
      <c r="D19" s="65">
        <f t="shared" ref="D19:U19" si="15">D20+D21+D23+D24+D25+D31+D34+D35+D22</f>
        <v>26708</v>
      </c>
      <c r="E19" s="117">
        <f t="shared" ref="E19:F19" si="16">E20+E21+E23+E24+E25+E31+E34+E35+E22</f>
        <v>69223.040000000008</v>
      </c>
      <c r="F19" s="117">
        <f t="shared" si="16"/>
        <v>71711</v>
      </c>
      <c r="G19" s="117">
        <f t="shared" si="15"/>
        <v>49480</v>
      </c>
      <c r="H19" s="117">
        <f t="shared" si="15"/>
        <v>71711</v>
      </c>
      <c r="I19" s="117">
        <f t="shared" si="15"/>
        <v>142769.60000000001</v>
      </c>
      <c r="J19" s="117">
        <f t="shared" si="15"/>
        <v>142770</v>
      </c>
      <c r="K19" s="117">
        <f t="shared" ref="K19:L19" si="17">K20+K21+K23+K24+K25+K31+K34+K35+K22</f>
        <v>17109.599999999999</v>
      </c>
      <c r="L19" s="117">
        <f t="shared" si="17"/>
        <v>84359</v>
      </c>
      <c r="M19" s="117">
        <f t="shared" ref="M19:P19" si="18">M20+M21+M23+M24+M25+M31+M34+M35+M22</f>
        <v>27000</v>
      </c>
      <c r="N19" s="117">
        <f t="shared" si="18"/>
        <v>14500</v>
      </c>
      <c r="O19" s="117">
        <f t="shared" si="18"/>
        <v>20500</v>
      </c>
      <c r="P19" s="117">
        <f t="shared" si="18"/>
        <v>22359</v>
      </c>
      <c r="Q19" s="117">
        <f t="shared" si="5"/>
        <v>84359</v>
      </c>
      <c r="R19" s="117">
        <f t="shared" si="6"/>
        <v>0</v>
      </c>
      <c r="S19" s="117">
        <f t="shared" si="15"/>
        <v>87081</v>
      </c>
      <c r="T19" s="117">
        <f t="shared" si="15"/>
        <v>87146</v>
      </c>
      <c r="U19" s="117">
        <f t="shared" si="15"/>
        <v>87210</v>
      </c>
    </row>
    <row r="20" spans="1:21" ht="15" customHeight="1">
      <c r="A20" s="30"/>
      <c r="B20" s="32" t="s">
        <v>19</v>
      </c>
      <c r="C20" s="12" t="s">
        <v>18</v>
      </c>
      <c r="D20" s="66"/>
      <c r="E20" s="203">
        <v>29453</v>
      </c>
      <c r="F20" s="66">
        <v>29453</v>
      </c>
      <c r="G20" s="66">
        <v>12503</v>
      </c>
      <c r="H20" s="66">
        <v>29453</v>
      </c>
      <c r="I20" s="197">
        <v>73000</v>
      </c>
      <c r="J20" s="197">
        <v>73000</v>
      </c>
      <c r="K20" s="197"/>
      <c r="L20" s="282">
        <v>32094</v>
      </c>
      <c r="M20" s="282">
        <v>15240</v>
      </c>
      <c r="N20" s="282">
        <v>4000</v>
      </c>
      <c r="O20" s="282">
        <f>7000+360+1570-3000+2000-1000-1000+2000-500+50</f>
        <v>7480</v>
      </c>
      <c r="P20" s="282">
        <f>3304-1080+3430-1730+3000-1000+1000-2000-500+500+500-50</f>
        <v>5374</v>
      </c>
      <c r="Q20" s="117">
        <f t="shared" si="5"/>
        <v>32094</v>
      </c>
      <c r="R20" s="117">
        <f t="shared" si="6"/>
        <v>0</v>
      </c>
      <c r="S20" s="282">
        <v>32094</v>
      </c>
      <c r="T20" s="282">
        <v>32094</v>
      </c>
      <c r="U20" s="282">
        <v>32094</v>
      </c>
    </row>
    <row r="21" spans="1:21" ht="15">
      <c r="A21" s="30"/>
      <c r="B21" s="33" t="s">
        <v>454</v>
      </c>
      <c r="C21" s="12" t="s">
        <v>18</v>
      </c>
      <c r="D21" s="66"/>
      <c r="E21" s="203">
        <v>19140</v>
      </c>
      <c r="F21" s="66">
        <v>19140</v>
      </c>
      <c r="G21" s="66">
        <v>8506</v>
      </c>
      <c r="H21" s="66">
        <v>19140</v>
      </c>
      <c r="I21" s="197">
        <v>39000</v>
      </c>
      <c r="J21" s="197">
        <v>39000</v>
      </c>
      <c r="K21" s="197"/>
      <c r="L21" s="282">
        <v>22836</v>
      </c>
      <c r="M21" s="282">
        <v>8080</v>
      </c>
      <c r="N21" s="282">
        <f>5800+2500-2500-1680</f>
        <v>4120</v>
      </c>
      <c r="O21" s="282">
        <f>5620-400+3000-2000+1000+1000-2000+500-50</f>
        <v>6670</v>
      </c>
      <c r="P21" s="282">
        <f>3336-2100+2500+1680-3000+1000-1000+2000-500+50</f>
        <v>3966</v>
      </c>
      <c r="Q21" s="117">
        <f t="shared" si="5"/>
        <v>22836</v>
      </c>
      <c r="R21" s="117">
        <f t="shared" si="6"/>
        <v>0</v>
      </c>
      <c r="S21" s="282">
        <v>22836</v>
      </c>
      <c r="T21" s="282">
        <v>22836</v>
      </c>
      <c r="U21" s="282">
        <v>22836</v>
      </c>
    </row>
    <row r="22" spans="1:21" ht="15">
      <c r="A22" s="30"/>
      <c r="B22" s="33" t="s">
        <v>20</v>
      </c>
      <c r="C22" s="12" t="s">
        <v>18</v>
      </c>
      <c r="D22" s="66">
        <v>71</v>
      </c>
      <c r="E22" s="203">
        <v>71</v>
      </c>
      <c r="F22" s="66">
        <v>71</v>
      </c>
      <c r="G22" s="66">
        <v>71</v>
      </c>
      <c r="H22" s="66">
        <v>71</v>
      </c>
      <c r="I22" s="197">
        <v>100</v>
      </c>
      <c r="J22" s="197">
        <v>100</v>
      </c>
      <c r="K22" s="197"/>
      <c r="L22" s="282">
        <v>120</v>
      </c>
      <c r="M22" s="282">
        <v>20</v>
      </c>
      <c r="N22" s="282">
        <v>70</v>
      </c>
      <c r="O22" s="282">
        <v>30</v>
      </c>
      <c r="P22" s="282"/>
      <c r="Q22" s="117">
        <f t="shared" si="5"/>
        <v>120</v>
      </c>
      <c r="R22" s="117">
        <f t="shared" si="6"/>
        <v>0</v>
      </c>
      <c r="S22" s="282">
        <v>120</v>
      </c>
      <c r="T22" s="282">
        <v>120</v>
      </c>
      <c r="U22" s="282">
        <v>120</v>
      </c>
    </row>
    <row r="23" spans="1:21" ht="17.25" customHeight="1">
      <c r="A23" s="30"/>
      <c r="B23" s="33" t="s">
        <v>455</v>
      </c>
      <c r="C23" s="12" t="s">
        <v>18</v>
      </c>
      <c r="D23" s="68">
        <f t="shared" ref="D23:U23" si="19">D554</f>
        <v>9996</v>
      </c>
      <c r="E23" s="69">
        <v>5230.54</v>
      </c>
      <c r="F23" s="68">
        <f t="shared" ref="F23" si="20">F554</f>
        <v>5483</v>
      </c>
      <c r="G23" s="68">
        <f t="shared" si="19"/>
        <v>11957</v>
      </c>
      <c r="H23" s="68">
        <f t="shared" si="19"/>
        <v>5483</v>
      </c>
      <c r="I23" s="69">
        <f t="shared" si="19"/>
        <v>13500</v>
      </c>
      <c r="J23" s="69">
        <f t="shared" si="19"/>
        <v>13500</v>
      </c>
      <c r="K23" s="69">
        <f t="shared" ref="K23" si="21">K554</f>
        <v>13500</v>
      </c>
      <c r="L23" s="283">
        <f>L554</f>
        <v>11902</v>
      </c>
      <c r="M23" s="283">
        <f t="shared" ref="M23:P23" si="22">M554</f>
        <v>0</v>
      </c>
      <c r="N23" s="283">
        <f>N554</f>
        <v>2000</v>
      </c>
      <c r="O23" s="283">
        <f t="shared" si="22"/>
        <v>2000</v>
      </c>
      <c r="P23" s="283">
        <f t="shared" si="22"/>
        <v>7902</v>
      </c>
      <c r="Q23" s="117">
        <f t="shared" si="5"/>
        <v>11902</v>
      </c>
      <c r="R23" s="117">
        <f t="shared" si="6"/>
        <v>0</v>
      </c>
      <c r="S23" s="283">
        <f t="shared" si="19"/>
        <v>11902</v>
      </c>
      <c r="T23" s="283">
        <f t="shared" si="19"/>
        <v>11902</v>
      </c>
      <c r="U23" s="283">
        <f t="shared" si="19"/>
        <v>11902</v>
      </c>
    </row>
    <row r="24" spans="1:21" ht="0.75" customHeight="1">
      <c r="A24" s="30"/>
      <c r="B24" s="33" t="s">
        <v>21</v>
      </c>
      <c r="C24" s="12"/>
      <c r="D24" s="68"/>
      <c r="E24" s="203"/>
      <c r="F24" s="68"/>
      <c r="G24" s="68"/>
      <c r="H24" s="68"/>
      <c r="I24" s="197"/>
      <c r="J24" s="197"/>
      <c r="K24" s="197"/>
      <c r="L24" s="282"/>
      <c r="M24" s="282"/>
      <c r="N24" s="282"/>
      <c r="O24" s="282"/>
      <c r="P24" s="282"/>
      <c r="Q24" s="117">
        <f t="shared" si="5"/>
        <v>0</v>
      </c>
      <c r="R24" s="117">
        <f t="shared" si="6"/>
        <v>0</v>
      </c>
      <c r="S24" s="282"/>
      <c r="T24" s="282"/>
      <c r="U24" s="282"/>
    </row>
    <row r="25" spans="1:21" ht="18.75" customHeight="1">
      <c r="A25" s="30"/>
      <c r="B25" s="33" t="s">
        <v>470</v>
      </c>
      <c r="C25" s="12" t="s">
        <v>18</v>
      </c>
      <c r="D25" s="75">
        <f t="shared" ref="D25:I25" si="23">D26+D27+D28+D29</f>
        <v>2732</v>
      </c>
      <c r="E25" s="73">
        <f t="shared" ref="E25:F25" si="24">E26+E27+E28+E29</f>
        <v>2481</v>
      </c>
      <c r="F25" s="75">
        <f t="shared" si="24"/>
        <v>3616</v>
      </c>
      <c r="G25" s="75">
        <f t="shared" si="23"/>
        <v>2495</v>
      </c>
      <c r="H25" s="75">
        <f t="shared" si="23"/>
        <v>3616</v>
      </c>
      <c r="I25" s="75">
        <f t="shared" si="23"/>
        <v>3594.6</v>
      </c>
      <c r="J25" s="75">
        <f>J26+J27+J28+J29+J30</f>
        <v>3595</v>
      </c>
      <c r="K25" s="75">
        <f t="shared" ref="K25:U25" si="25">K26+K27+K28+K29+K30</f>
        <v>3609.6</v>
      </c>
      <c r="L25" s="284">
        <f t="shared" si="25"/>
        <v>3447</v>
      </c>
      <c r="M25" s="284">
        <f t="shared" ref="M25:P25" si="26">M26+M27+M28+M29+M30</f>
        <v>350</v>
      </c>
      <c r="N25" s="284">
        <f t="shared" si="26"/>
        <v>1000</v>
      </c>
      <c r="O25" s="284">
        <f t="shared" si="26"/>
        <v>1020</v>
      </c>
      <c r="P25" s="284">
        <f t="shared" si="26"/>
        <v>1077</v>
      </c>
      <c r="Q25" s="117">
        <f t="shared" si="5"/>
        <v>3447</v>
      </c>
      <c r="R25" s="117">
        <f t="shared" si="6"/>
        <v>0</v>
      </c>
      <c r="S25" s="284">
        <f t="shared" si="25"/>
        <v>3817</v>
      </c>
      <c r="T25" s="284">
        <f t="shared" si="25"/>
        <v>3870</v>
      </c>
      <c r="U25" s="284">
        <f t="shared" si="25"/>
        <v>3922</v>
      </c>
    </row>
    <row r="26" spans="1:21" ht="17.25" hidden="1" customHeight="1">
      <c r="A26" s="30"/>
      <c r="B26" s="33" t="s">
        <v>22</v>
      </c>
      <c r="C26" s="12"/>
      <c r="D26" s="68"/>
      <c r="E26" s="203"/>
      <c r="F26" s="68"/>
      <c r="G26" s="68"/>
      <c r="H26" s="68"/>
      <c r="I26" s="197"/>
      <c r="J26" s="197"/>
      <c r="K26" s="197"/>
      <c r="L26" s="282"/>
      <c r="M26" s="282"/>
      <c r="N26" s="282"/>
      <c r="O26" s="282"/>
      <c r="P26" s="282"/>
      <c r="Q26" s="117">
        <f t="shared" si="5"/>
        <v>0</v>
      </c>
      <c r="R26" s="117">
        <f t="shared" si="6"/>
        <v>0</v>
      </c>
      <c r="S26" s="282"/>
      <c r="T26" s="282"/>
      <c r="U26" s="282"/>
    </row>
    <row r="27" spans="1:21" ht="14.25" customHeight="1">
      <c r="A27" s="30"/>
      <c r="B27" s="33" t="s">
        <v>467</v>
      </c>
      <c r="C27" s="12" t="s">
        <v>18</v>
      </c>
      <c r="D27" s="68">
        <v>1326</v>
      </c>
      <c r="E27" s="203">
        <v>1386</v>
      </c>
      <c r="F27" s="68">
        <v>1386</v>
      </c>
      <c r="G27" s="68">
        <v>1386</v>
      </c>
      <c r="H27" s="68">
        <v>1386</v>
      </c>
      <c r="I27" s="212">
        <f>I475</f>
        <v>2294</v>
      </c>
      <c r="J27" s="212">
        <f t="shared" ref="J27:U27" si="27">J475</f>
        <v>2294</v>
      </c>
      <c r="K27" s="212">
        <f>K475</f>
        <v>2315</v>
      </c>
      <c r="L27" s="285">
        <v>1763</v>
      </c>
      <c r="M27" s="285">
        <v>350</v>
      </c>
      <c r="N27" s="285">
        <v>500</v>
      </c>
      <c r="O27" s="285">
        <v>520</v>
      </c>
      <c r="P27" s="285">
        <f>530-137</f>
        <v>393</v>
      </c>
      <c r="Q27" s="117">
        <f t="shared" si="5"/>
        <v>1763</v>
      </c>
      <c r="R27" s="117">
        <f t="shared" si="6"/>
        <v>0</v>
      </c>
      <c r="S27" s="285">
        <f t="shared" si="27"/>
        <v>2133</v>
      </c>
      <c r="T27" s="285">
        <f t="shared" si="27"/>
        <v>2186</v>
      </c>
      <c r="U27" s="285">
        <f t="shared" si="27"/>
        <v>2238</v>
      </c>
    </row>
    <row r="28" spans="1:21" ht="2.25" hidden="1" customHeight="1">
      <c r="A28" s="30"/>
      <c r="B28" s="33" t="s">
        <v>430</v>
      </c>
      <c r="C28" s="12"/>
      <c r="D28" s="68"/>
      <c r="E28" s="203"/>
      <c r="F28" s="68"/>
      <c r="G28" s="68"/>
      <c r="H28" s="68"/>
      <c r="I28" s="203"/>
      <c r="J28" s="203"/>
      <c r="K28" s="203"/>
      <c r="L28" s="285"/>
      <c r="M28" s="285"/>
      <c r="N28" s="285"/>
      <c r="O28" s="285"/>
      <c r="P28" s="285"/>
      <c r="Q28" s="117">
        <f t="shared" si="5"/>
        <v>0</v>
      </c>
      <c r="R28" s="117">
        <f t="shared" si="6"/>
        <v>0</v>
      </c>
      <c r="S28" s="285"/>
      <c r="T28" s="285"/>
      <c r="U28" s="285"/>
    </row>
    <row r="29" spans="1:21" ht="26.25" customHeight="1">
      <c r="A29" s="30"/>
      <c r="B29" s="32" t="s">
        <v>431</v>
      </c>
      <c r="C29" s="12" t="s">
        <v>18</v>
      </c>
      <c r="D29" s="68">
        <v>1406</v>
      </c>
      <c r="E29" s="203">
        <v>1095</v>
      </c>
      <c r="F29" s="68">
        <v>2230</v>
      </c>
      <c r="G29" s="68">
        <v>1109</v>
      </c>
      <c r="H29" s="68">
        <v>2230</v>
      </c>
      <c r="I29" s="212">
        <f>I489</f>
        <v>1300.5999999999999</v>
      </c>
      <c r="J29" s="212">
        <f t="shared" ref="J29:U29" si="28">J489</f>
        <v>1301</v>
      </c>
      <c r="K29" s="212">
        <f>K489</f>
        <v>1294.5999999999999</v>
      </c>
      <c r="L29" s="285">
        <f t="shared" ref="L29:U30" si="29">L489</f>
        <v>1533</v>
      </c>
      <c r="M29" s="285">
        <f t="shared" ref="M29" si="30">M489</f>
        <v>0</v>
      </c>
      <c r="N29" s="285">
        <v>500</v>
      </c>
      <c r="O29" s="285">
        <v>500</v>
      </c>
      <c r="P29" s="285">
        <v>533</v>
      </c>
      <c r="Q29" s="117">
        <f t="shared" si="5"/>
        <v>1533</v>
      </c>
      <c r="R29" s="117">
        <f t="shared" si="6"/>
        <v>0</v>
      </c>
      <c r="S29" s="285">
        <f t="shared" si="28"/>
        <v>1533</v>
      </c>
      <c r="T29" s="285">
        <f t="shared" si="28"/>
        <v>1533</v>
      </c>
      <c r="U29" s="285">
        <f t="shared" si="28"/>
        <v>1533</v>
      </c>
    </row>
    <row r="30" spans="1:21" ht="26.25" customHeight="1">
      <c r="A30" s="30"/>
      <c r="B30" s="32" t="s">
        <v>644</v>
      </c>
      <c r="C30" s="12" t="s">
        <v>18</v>
      </c>
      <c r="D30" s="68"/>
      <c r="E30" s="203"/>
      <c r="F30" s="68"/>
      <c r="G30" s="68"/>
      <c r="H30" s="68"/>
      <c r="I30" s="212"/>
      <c r="J30" s="212">
        <f>J490</f>
        <v>0</v>
      </c>
      <c r="K30" s="212">
        <f t="shared" ref="K30" si="31">K490</f>
        <v>0</v>
      </c>
      <c r="L30" s="285">
        <f t="shared" si="29"/>
        <v>151</v>
      </c>
      <c r="M30" s="285">
        <f t="shared" ref="M30:O30" si="32">M490</f>
        <v>0</v>
      </c>
      <c r="N30" s="285">
        <f t="shared" si="32"/>
        <v>0</v>
      </c>
      <c r="O30" s="285">
        <f t="shared" si="32"/>
        <v>0</v>
      </c>
      <c r="P30" s="285">
        <v>151</v>
      </c>
      <c r="Q30" s="117">
        <f t="shared" si="5"/>
        <v>151</v>
      </c>
      <c r="R30" s="117">
        <f t="shared" si="6"/>
        <v>0</v>
      </c>
      <c r="S30" s="285">
        <f t="shared" si="29"/>
        <v>151</v>
      </c>
      <c r="T30" s="285">
        <f t="shared" si="29"/>
        <v>151</v>
      </c>
      <c r="U30" s="285">
        <f t="shared" si="29"/>
        <v>151</v>
      </c>
    </row>
    <row r="31" spans="1:21" ht="15">
      <c r="A31" s="30"/>
      <c r="B31" s="33" t="s">
        <v>583</v>
      </c>
      <c r="C31" s="12" t="s">
        <v>18</v>
      </c>
      <c r="D31" s="75">
        <f t="shared" ref="D31:U31" si="33">D32+D33</f>
        <v>13666</v>
      </c>
      <c r="E31" s="73">
        <f t="shared" ref="E31:F31" si="34">E32+E33</f>
        <v>12571.5</v>
      </c>
      <c r="F31" s="75">
        <f t="shared" si="34"/>
        <v>13672</v>
      </c>
      <c r="G31" s="75">
        <f t="shared" si="33"/>
        <v>13672</v>
      </c>
      <c r="H31" s="75">
        <f t="shared" si="33"/>
        <v>13672</v>
      </c>
      <c r="I31" s="75">
        <f t="shared" si="33"/>
        <v>12575</v>
      </c>
      <c r="J31" s="75">
        <f t="shared" si="33"/>
        <v>12575</v>
      </c>
      <c r="K31" s="75">
        <f t="shared" ref="K31:L31" si="35">K32+K33</f>
        <v>0</v>
      </c>
      <c r="L31" s="284">
        <f t="shared" si="35"/>
        <v>13677</v>
      </c>
      <c r="M31" s="284">
        <f t="shared" ref="M31:P31" si="36">M32+M33</f>
        <v>3240</v>
      </c>
      <c r="N31" s="284">
        <f t="shared" si="36"/>
        <v>3240</v>
      </c>
      <c r="O31" s="284">
        <f t="shared" si="36"/>
        <v>3240</v>
      </c>
      <c r="P31" s="284">
        <f t="shared" si="36"/>
        <v>3957</v>
      </c>
      <c r="Q31" s="117">
        <f t="shared" si="5"/>
        <v>13677</v>
      </c>
      <c r="R31" s="117">
        <f t="shared" si="6"/>
        <v>0</v>
      </c>
      <c r="S31" s="284">
        <f t="shared" si="33"/>
        <v>16022</v>
      </c>
      <c r="T31" s="284">
        <f t="shared" si="33"/>
        <v>16027</v>
      </c>
      <c r="U31" s="284">
        <f t="shared" si="33"/>
        <v>16032</v>
      </c>
    </row>
    <row r="32" spans="1:21" ht="15">
      <c r="A32" s="30"/>
      <c r="B32" s="33" t="s">
        <v>584</v>
      </c>
      <c r="C32" s="12" t="s">
        <v>18</v>
      </c>
      <c r="D32" s="68">
        <v>12860</v>
      </c>
      <c r="E32" s="203">
        <v>12571.5</v>
      </c>
      <c r="F32" s="68">
        <v>13672</v>
      </c>
      <c r="G32" s="68">
        <v>13672</v>
      </c>
      <c r="H32" s="68">
        <v>13672</v>
      </c>
      <c r="I32" s="197">
        <v>12575</v>
      </c>
      <c r="J32" s="197">
        <v>12575</v>
      </c>
      <c r="K32" s="197"/>
      <c r="L32" s="282">
        <v>13677</v>
      </c>
      <c r="M32" s="282">
        <v>3240</v>
      </c>
      <c r="N32" s="282">
        <f>3960-720</f>
        <v>3240</v>
      </c>
      <c r="O32" s="282">
        <f>3600-360</f>
        <v>3240</v>
      </c>
      <c r="P32" s="282">
        <f>2877+1080</f>
        <v>3957</v>
      </c>
      <c r="Q32" s="117">
        <f t="shared" si="5"/>
        <v>13677</v>
      </c>
      <c r="R32" s="117">
        <f t="shared" si="6"/>
        <v>0</v>
      </c>
      <c r="S32" s="282">
        <v>16022</v>
      </c>
      <c r="T32" s="282">
        <v>16027</v>
      </c>
      <c r="U32" s="282">
        <v>16032</v>
      </c>
    </row>
    <row r="33" spans="1:21" ht="12.75" customHeight="1">
      <c r="A33" s="30"/>
      <c r="B33" s="33" t="s">
        <v>23</v>
      </c>
      <c r="C33" s="12" t="s">
        <v>18</v>
      </c>
      <c r="D33" s="68">
        <v>806</v>
      </c>
      <c r="E33" s="69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/>
      <c r="L33" s="176"/>
      <c r="M33" s="176"/>
      <c r="N33" s="176"/>
      <c r="O33" s="176"/>
      <c r="P33" s="176"/>
      <c r="Q33" s="117">
        <f t="shared" si="5"/>
        <v>0</v>
      </c>
      <c r="R33" s="117">
        <f t="shared" si="6"/>
        <v>0</v>
      </c>
      <c r="S33" s="176">
        <v>0</v>
      </c>
      <c r="T33" s="176">
        <v>0</v>
      </c>
      <c r="U33" s="176">
        <v>0</v>
      </c>
    </row>
    <row r="34" spans="1:21" ht="14.25" customHeight="1">
      <c r="A34" s="30"/>
      <c r="B34" s="33" t="s">
        <v>24</v>
      </c>
      <c r="C34" s="12" t="s">
        <v>18</v>
      </c>
      <c r="D34" s="68">
        <v>243</v>
      </c>
      <c r="E34" s="203">
        <v>276</v>
      </c>
      <c r="F34" s="68">
        <v>276</v>
      </c>
      <c r="G34" s="68">
        <v>276</v>
      </c>
      <c r="H34" s="68">
        <v>276</v>
      </c>
      <c r="I34" s="197">
        <v>1000</v>
      </c>
      <c r="J34" s="197">
        <v>1000</v>
      </c>
      <c r="K34" s="197"/>
      <c r="L34" s="282">
        <v>283</v>
      </c>
      <c r="M34" s="282">
        <v>70</v>
      </c>
      <c r="N34" s="282">
        <v>70</v>
      </c>
      <c r="O34" s="282">
        <v>60</v>
      </c>
      <c r="P34" s="282">
        <v>83</v>
      </c>
      <c r="Q34" s="117">
        <f t="shared" si="5"/>
        <v>283</v>
      </c>
      <c r="R34" s="117">
        <f t="shared" si="6"/>
        <v>0</v>
      </c>
      <c r="S34" s="282">
        <v>290</v>
      </c>
      <c r="T34" s="282">
        <v>297</v>
      </c>
      <c r="U34" s="282">
        <v>304</v>
      </c>
    </row>
    <row r="35" spans="1:21" ht="15.75" customHeight="1">
      <c r="A35" s="30"/>
      <c r="B35" s="32" t="s">
        <v>25</v>
      </c>
      <c r="C35" s="12"/>
      <c r="D35" s="68"/>
      <c r="E35" s="197"/>
      <c r="F35" s="68"/>
      <c r="G35" s="68"/>
      <c r="H35" s="68"/>
      <c r="I35" s="197"/>
      <c r="J35" s="197"/>
      <c r="K35" s="197"/>
      <c r="L35" s="282"/>
      <c r="M35" s="282"/>
      <c r="N35" s="282"/>
      <c r="O35" s="282"/>
      <c r="P35" s="282"/>
      <c r="Q35" s="117">
        <f t="shared" si="5"/>
        <v>0</v>
      </c>
      <c r="R35" s="117">
        <f t="shared" si="6"/>
        <v>0</v>
      </c>
      <c r="S35" s="282"/>
      <c r="T35" s="282"/>
      <c r="U35" s="282"/>
    </row>
    <row r="36" spans="1:21" ht="14.25" customHeight="1">
      <c r="A36" s="34">
        <v>2</v>
      </c>
      <c r="B36" s="26" t="s">
        <v>26</v>
      </c>
      <c r="C36" s="12" t="s">
        <v>27</v>
      </c>
      <c r="D36" s="70">
        <v>5591</v>
      </c>
      <c r="E36" s="197">
        <v>12832</v>
      </c>
      <c r="F36" s="177">
        <v>12832</v>
      </c>
      <c r="G36" s="177">
        <f>10832+2000</f>
        <v>12832</v>
      </c>
      <c r="H36" s="177">
        <v>12832</v>
      </c>
      <c r="I36" s="197">
        <v>53000</v>
      </c>
      <c r="J36" s="197">
        <v>53000</v>
      </c>
      <c r="K36" s="197"/>
      <c r="L36" s="282">
        <v>18076</v>
      </c>
      <c r="M36" s="282">
        <v>3940</v>
      </c>
      <c r="N36" s="282">
        <v>7240</v>
      </c>
      <c r="O36" s="282">
        <v>5000</v>
      </c>
      <c r="P36" s="282">
        <v>1896</v>
      </c>
      <c r="Q36" s="117">
        <f t="shared" si="5"/>
        <v>18076</v>
      </c>
      <c r="R36" s="117">
        <f t="shared" si="6"/>
        <v>0</v>
      </c>
      <c r="S36" s="282">
        <v>18076</v>
      </c>
      <c r="T36" s="282">
        <v>18076</v>
      </c>
      <c r="U36" s="282">
        <v>18076</v>
      </c>
    </row>
    <row r="37" spans="1:21" ht="13.5" customHeight="1">
      <c r="A37" s="34">
        <v>3</v>
      </c>
      <c r="B37" s="31" t="s">
        <v>585</v>
      </c>
      <c r="C37" s="12" t="s">
        <v>29</v>
      </c>
      <c r="D37" s="70">
        <v>103636</v>
      </c>
      <c r="E37" s="197">
        <v>65410</v>
      </c>
      <c r="F37" s="177">
        <v>65410</v>
      </c>
      <c r="G37" s="177">
        <v>50174</v>
      </c>
      <c r="H37" s="177">
        <v>65410</v>
      </c>
      <c r="I37" s="197">
        <v>34695</v>
      </c>
      <c r="J37" s="197">
        <v>34695</v>
      </c>
      <c r="K37" s="197"/>
      <c r="L37" s="282">
        <v>32025</v>
      </c>
      <c r="M37" s="282">
        <v>8500</v>
      </c>
      <c r="N37" s="282">
        <v>7970</v>
      </c>
      <c r="O37" s="282">
        <v>8500</v>
      </c>
      <c r="P37" s="282">
        <v>7055</v>
      </c>
      <c r="Q37" s="117">
        <f t="shared" si="5"/>
        <v>32025</v>
      </c>
      <c r="R37" s="117">
        <f t="shared" si="6"/>
        <v>0</v>
      </c>
      <c r="S37" s="282">
        <v>31838</v>
      </c>
      <c r="T37" s="282">
        <v>25035</v>
      </c>
      <c r="U37" s="282">
        <v>18232</v>
      </c>
    </row>
    <row r="38" spans="1:21" ht="18" customHeight="1">
      <c r="A38" s="34"/>
      <c r="B38" s="33"/>
      <c r="C38" s="12"/>
      <c r="D38" s="68"/>
      <c r="E38" s="197"/>
      <c r="F38" s="174"/>
      <c r="G38" s="174"/>
      <c r="H38" s="174"/>
      <c r="I38" s="197"/>
      <c r="J38" s="197"/>
      <c r="K38" s="197"/>
      <c r="L38" s="282"/>
      <c r="M38" s="282"/>
      <c r="N38" s="282"/>
      <c r="O38" s="282"/>
      <c r="P38" s="282"/>
      <c r="Q38" s="117">
        <f t="shared" si="5"/>
        <v>0</v>
      </c>
      <c r="R38" s="117">
        <f t="shared" si="6"/>
        <v>0</v>
      </c>
      <c r="S38" s="282"/>
      <c r="T38" s="282"/>
      <c r="U38" s="282"/>
    </row>
    <row r="39" spans="1:21" ht="14.25" customHeight="1">
      <c r="A39" s="19" t="s">
        <v>30</v>
      </c>
      <c r="B39" s="26" t="s">
        <v>576</v>
      </c>
      <c r="C39" s="84"/>
      <c r="D39" s="67">
        <f t="shared" ref="D39:U39" si="37">D40+D44+D51+D58+D62+D67+D56+D71</f>
        <v>9603.64</v>
      </c>
      <c r="E39" s="173">
        <f t="shared" ref="E39:F39" si="38">E40+E44+E51+E58+E62+E67+E56+E71</f>
        <v>8847.4599999999991</v>
      </c>
      <c r="F39" s="173">
        <f t="shared" si="38"/>
        <v>9700</v>
      </c>
      <c r="G39" s="173">
        <f t="shared" si="37"/>
        <v>9700</v>
      </c>
      <c r="H39" s="173">
        <f t="shared" si="37"/>
        <v>9700</v>
      </c>
      <c r="I39" s="173">
        <f t="shared" si="37"/>
        <v>6910</v>
      </c>
      <c r="J39" s="173">
        <f t="shared" si="37"/>
        <v>6910</v>
      </c>
      <c r="K39" s="173">
        <f t="shared" ref="K39:L39" si="39">K40+K44+K51+K58+K62+K67+K56+K71</f>
        <v>0</v>
      </c>
      <c r="L39" s="175">
        <f t="shared" si="39"/>
        <v>7100</v>
      </c>
      <c r="M39" s="175">
        <f t="shared" ref="M39:P39" si="40">M40+M44+M51+M58+M62+M67+M56+M71</f>
        <v>1460</v>
      </c>
      <c r="N39" s="175">
        <f t="shared" si="40"/>
        <v>2931</v>
      </c>
      <c r="O39" s="175">
        <f t="shared" si="40"/>
        <v>1381</v>
      </c>
      <c r="P39" s="175">
        <f t="shared" si="40"/>
        <v>1328</v>
      </c>
      <c r="Q39" s="117">
        <f t="shared" si="5"/>
        <v>7100</v>
      </c>
      <c r="R39" s="117">
        <f t="shared" si="6"/>
        <v>0</v>
      </c>
      <c r="S39" s="175">
        <f t="shared" si="37"/>
        <v>5600</v>
      </c>
      <c r="T39" s="175">
        <f t="shared" si="37"/>
        <v>5815</v>
      </c>
      <c r="U39" s="175">
        <f t="shared" si="37"/>
        <v>6030</v>
      </c>
    </row>
    <row r="40" spans="1:21" ht="28.5" customHeight="1">
      <c r="A40" s="34">
        <v>1</v>
      </c>
      <c r="B40" s="31" t="s">
        <v>31</v>
      </c>
      <c r="C40" s="12">
        <v>16.02</v>
      </c>
      <c r="D40" s="71">
        <f t="shared" ref="D40:U40" si="41">D41+D43+D42</f>
        <v>3498.17</v>
      </c>
      <c r="E40" s="178">
        <f t="shared" ref="E40:F40" si="42">E41+E43+E42</f>
        <v>3006.47</v>
      </c>
      <c r="F40" s="178">
        <f t="shared" si="42"/>
        <v>3400</v>
      </c>
      <c r="G40" s="178">
        <f t="shared" si="41"/>
        <v>3400</v>
      </c>
      <c r="H40" s="178">
        <f t="shared" si="41"/>
        <v>3400</v>
      </c>
      <c r="I40" s="178">
        <f t="shared" si="41"/>
        <v>3140</v>
      </c>
      <c r="J40" s="178">
        <f t="shared" si="41"/>
        <v>3140</v>
      </c>
      <c r="K40" s="178">
        <f t="shared" ref="K40:L40" si="43">K41+K43+K42</f>
        <v>0</v>
      </c>
      <c r="L40" s="286">
        <f t="shared" si="43"/>
        <v>3240</v>
      </c>
      <c r="M40" s="286">
        <f t="shared" ref="M40:P40" si="44">M41+M43+M42</f>
        <v>885</v>
      </c>
      <c r="N40" s="286">
        <f t="shared" si="44"/>
        <v>735</v>
      </c>
      <c r="O40" s="286">
        <f t="shared" si="44"/>
        <v>835</v>
      </c>
      <c r="P40" s="286">
        <f t="shared" si="44"/>
        <v>785</v>
      </c>
      <c r="Q40" s="117">
        <f t="shared" si="5"/>
        <v>3240</v>
      </c>
      <c r="R40" s="117">
        <f t="shared" si="6"/>
        <v>0</v>
      </c>
      <c r="S40" s="286">
        <f t="shared" si="41"/>
        <v>3310</v>
      </c>
      <c r="T40" s="286">
        <f t="shared" si="41"/>
        <v>3460</v>
      </c>
      <c r="U40" s="286">
        <f t="shared" si="41"/>
        <v>3620</v>
      </c>
    </row>
    <row r="41" spans="1:21" ht="14.25" customHeight="1">
      <c r="A41" s="34"/>
      <c r="B41" s="33" t="s">
        <v>32</v>
      </c>
      <c r="C41" s="12" t="s">
        <v>33</v>
      </c>
      <c r="D41" s="68">
        <v>172.91</v>
      </c>
      <c r="E41" s="197">
        <v>166.51</v>
      </c>
      <c r="F41" s="68">
        <v>200</v>
      </c>
      <c r="G41" s="68">
        <v>200</v>
      </c>
      <c r="H41" s="68">
        <v>200</v>
      </c>
      <c r="I41" s="197">
        <v>175</v>
      </c>
      <c r="J41" s="197">
        <v>175</v>
      </c>
      <c r="K41" s="197"/>
      <c r="L41" s="282">
        <v>200</v>
      </c>
      <c r="M41" s="282">
        <v>50</v>
      </c>
      <c r="N41" s="282">
        <v>50</v>
      </c>
      <c r="O41" s="282">
        <v>50</v>
      </c>
      <c r="P41" s="282">
        <v>50</v>
      </c>
      <c r="Q41" s="117">
        <f t="shared" si="5"/>
        <v>200</v>
      </c>
      <c r="R41" s="117">
        <f t="shared" si="6"/>
        <v>0</v>
      </c>
      <c r="S41" s="282">
        <v>200</v>
      </c>
      <c r="T41" s="282">
        <v>200</v>
      </c>
      <c r="U41" s="282">
        <v>200</v>
      </c>
    </row>
    <row r="42" spans="1:21" ht="30">
      <c r="A42" s="34"/>
      <c r="B42" s="32" t="s">
        <v>34</v>
      </c>
      <c r="C42" s="12" t="s">
        <v>35</v>
      </c>
      <c r="D42" s="68">
        <v>2603.44</v>
      </c>
      <c r="E42" s="197">
        <v>2515.58</v>
      </c>
      <c r="F42" s="68">
        <v>2700</v>
      </c>
      <c r="G42" s="68">
        <v>2700</v>
      </c>
      <c r="H42" s="68">
        <v>2700</v>
      </c>
      <c r="I42" s="197">
        <v>2625</v>
      </c>
      <c r="J42" s="197">
        <v>2625</v>
      </c>
      <c r="K42" s="197"/>
      <c r="L42" s="282">
        <v>2700</v>
      </c>
      <c r="M42" s="282">
        <v>750</v>
      </c>
      <c r="N42" s="282">
        <v>600</v>
      </c>
      <c r="O42" s="282">
        <v>700</v>
      </c>
      <c r="P42" s="282">
        <v>650</v>
      </c>
      <c r="Q42" s="117">
        <f t="shared" si="5"/>
        <v>2700</v>
      </c>
      <c r="R42" s="117">
        <f t="shared" si="6"/>
        <v>0</v>
      </c>
      <c r="S42" s="282">
        <v>2750</v>
      </c>
      <c r="T42" s="282">
        <v>2885</v>
      </c>
      <c r="U42" s="282">
        <v>3025</v>
      </c>
    </row>
    <row r="43" spans="1:21" ht="30">
      <c r="A43" s="34"/>
      <c r="B43" s="32" t="s">
        <v>36</v>
      </c>
      <c r="C43" s="12" t="s">
        <v>37</v>
      </c>
      <c r="D43" s="68">
        <v>721.82</v>
      </c>
      <c r="E43" s="197">
        <v>324.38</v>
      </c>
      <c r="F43" s="68">
        <v>500</v>
      </c>
      <c r="G43" s="68">
        <v>500</v>
      </c>
      <c r="H43" s="68">
        <v>500</v>
      </c>
      <c r="I43" s="197">
        <v>340</v>
      </c>
      <c r="J43" s="197">
        <v>340</v>
      </c>
      <c r="K43" s="197"/>
      <c r="L43" s="282">
        <v>340</v>
      </c>
      <c r="M43" s="282">
        <v>85</v>
      </c>
      <c r="N43" s="282">
        <v>85</v>
      </c>
      <c r="O43" s="282">
        <v>85</v>
      </c>
      <c r="P43" s="282">
        <v>85</v>
      </c>
      <c r="Q43" s="117">
        <f t="shared" si="5"/>
        <v>340</v>
      </c>
      <c r="R43" s="117">
        <f t="shared" si="6"/>
        <v>0</v>
      </c>
      <c r="S43" s="282">
        <v>360</v>
      </c>
      <c r="T43" s="282">
        <v>375</v>
      </c>
      <c r="U43" s="282">
        <v>395</v>
      </c>
    </row>
    <row r="44" spans="1:21" ht="12" customHeight="1">
      <c r="A44" s="34">
        <v>2</v>
      </c>
      <c r="B44" s="26" t="s">
        <v>607</v>
      </c>
      <c r="C44" s="12" t="s">
        <v>39</v>
      </c>
      <c r="D44" s="71">
        <f t="shared" ref="D44:U44" si="45">D45+D46+D47+D48+D49</f>
        <v>4008.3799999999997</v>
      </c>
      <c r="E44" s="71">
        <f t="shared" ref="E44:F44" si="46">E45+E46+E47+E48+E49</f>
        <v>3956</v>
      </c>
      <c r="F44" s="71">
        <f t="shared" si="46"/>
        <v>4100</v>
      </c>
      <c r="G44" s="71">
        <f t="shared" si="45"/>
        <v>4100</v>
      </c>
      <c r="H44" s="71">
        <f t="shared" si="45"/>
        <v>4100</v>
      </c>
      <c r="I44" s="71">
        <f t="shared" si="45"/>
        <v>2275</v>
      </c>
      <c r="J44" s="71">
        <f t="shared" si="45"/>
        <v>2275</v>
      </c>
      <c r="K44" s="71">
        <f t="shared" ref="K44:L44" si="47">K45+K46+K47+K48+K49</f>
        <v>0</v>
      </c>
      <c r="L44" s="286">
        <f t="shared" si="47"/>
        <v>2275</v>
      </c>
      <c r="M44" s="286">
        <f t="shared" ref="M44:P44" si="48">M45+M46+M47+M48+M49</f>
        <v>178</v>
      </c>
      <c r="N44" s="286">
        <f t="shared" si="48"/>
        <v>1799</v>
      </c>
      <c r="O44" s="286">
        <f t="shared" si="48"/>
        <v>149</v>
      </c>
      <c r="P44" s="286">
        <f t="shared" si="48"/>
        <v>149</v>
      </c>
      <c r="Q44" s="117">
        <f t="shared" si="5"/>
        <v>2275</v>
      </c>
      <c r="R44" s="117">
        <f t="shared" si="6"/>
        <v>0</v>
      </c>
      <c r="S44" s="286">
        <f t="shared" si="45"/>
        <v>680</v>
      </c>
      <c r="T44" s="286">
        <f t="shared" si="45"/>
        <v>737</v>
      </c>
      <c r="U44" s="286">
        <f t="shared" si="45"/>
        <v>790</v>
      </c>
    </row>
    <row r="45" spans="1:21" ht="15.75" hidden="1" customHeight="1">
      <c r="A45" s="34"/>
      <c r="B45" s="33" t="s">
        <v>40</v>
      </c>
      <c r="C45" s="12" t="s">
        <v>41</v>
      </c>
      <c r="D45" s="68"/>
      <c r="E45" s="197"/>
      <c r="F45" s="68"/>
      <c r="G45" s="68"/>
      <c r="H45" s="68"/>
      <c r="I45" s="197"/>
      <c r="J45" s="197"/>
      <c r="K45" s="197"/>
      <c r="L45" s="282"/>
      <c r="M45" s="282"/>
      <c r="N45" s="282"/>
      <c r="O45" s="282"/>
      <c r="P45" s="282"/>
      <c r="Q45" s="117">
        <f t="shared" si="5"/>
        <v>0</v>
      </c>
      <c r="R45" s="117">
        <f t="shared" si="6"/>
        <v>0</v>
      </c>
      <c r="S45" s="282"/>
      <c r="T45" s="282"/>
      <c r="U45" s="282"/>
    </row>
    <row r="46" spans="1:21" ht="16.5" hidden="1" customHeight="1">
      <c r="A46" s="34"/>
      <c r="B46" s="33" t="s">
        <v>42</v>
      </c>
      <c r="C46" s="12" t="s">
        <v>43</v>
      </c>
      <c r="D46" s="68"/>
      <c r="E46" s="197"/>
      <c r="F46" s="68"/>
      <c r="G46" s="68"/>
      <c r="H46" s="68"/>
      <c r="I46" s="197"/>
      <c r="J46" s="197"/>
      <c r="K46" s="197"/>
      <c r="L46" s="282"/>
      <c r="M46" s="282"/>
      <c r="N46" s="282"/>
      <c r="O46" s="282"/>
      <c r="P46" s="282"/>
      <c r="Q46" s="117">
        <f t="shared" si="5"/>
        <v>0</v>
      </c>
      <c r="R46" s="117">
        <f t="shared" si="6"/>
        <v>0</v>
      </c>
      <c r="S46" s="282"/>
      <c r="T46" s="282"/>
      <c r="U46" s="282"/>
    </row>
    <row r="47" spans="1:21" ht="16.5" customHeight="1">
      <c r="A47" s="34"/>
      <c r="B47" s="33" t="s">
        <v>44</v>
      </c>
      <c r="C47" s="12" t="s">
        <v>45</v>
      </c>
      <c r="D47" s="68">
        <v>3934.41</v>
      </c>
      <c r="E47" s="197">
        <v>3885.42</v>
      </c>
      <c r="F47" s="68">
        <v>4000</v>
      </c>
      <c r="G47" s="68">
        <v>4000</v>
      </c>
      <c r="H47" s="68">
        <v>4000</v>
      </c>
      <c r="I47" s="197">
        <v>2200</v>
      </c>
      <c r="J47" s="197">
        <v>2200</v>
      </c>
      <c r="K47" s="197"/>
      <c r="L47" s="282">
        <v>2200</v>
      </c>
      <c r="M47" s="282">
        <v>160</v>
      </c>
      <c r="N47" s="282">
        <v>1780</v>
      </c>
      <c r="O47" s="282">
        <v>130</v>
      </c>
      <c r="P47" s="282">
        <v>130</v>
      </c>
      <c r="Q47" s="117">
        <f t="shared" si="5"/>
        <v>2200</v>
      </c>
      <c r="R47" s="117">
        <f t="shared" si="6"/>
        <v>0</v>
      </c>
      <c r="S47" s="282">
        <v>600</v>
      </c>
      <c r="T47" s="282">
        <v>650</v>
      </c>
      <c r="U47" s="282">
        <v>700</v>
      </c>
    </row>
    <row r="48" spans="1:21" ht="12.75" hidden="1" customHeight="1">
      <c r="A48" s="34"/>
      <c r="B48" s="33" t="s">
        <v>46</v>
      </c>
      <c r="C48" s="12" t="s">
        <v>47</v>
      </c>
      <c r="D48" s="68"/>
      <c r="E48" s="197"/>
      <c r="F48" s="68"/>
      <c r="G48" s="68"/>
      <c r="H48" s="68"/>
      <c r="I48" s="197"/>
      <c r="J48" s="197"/>
      <c r="K48" s="197"/>
      <c r="L48" s="282"/>
      <c r="M48" s="282"/>
      <c r="N48" s="282"/>
      <c r="O48" s="282"/>
      <c r="P48" s="282"/>
      <c r="Q48" s="117">
        <f t="shared" si="5"/>
        <v>0</v>
      </c>
      <c r="R48" s="117">
        <f t="shared" si="6"/>
        <v>0</v>
      </c>
      <c r="S48" s="282"/>
      <c r="T48" s="282"/>
      <c r="U48" s="282"/>
    </row>
    <row r="49" spans="1:21" ht="15" customHeight="1">
      <c r="A49" s="34"/>
      <c r="B49" s="33" t="s">
        <v>48</v>
      </c>
      <c r="C49" s="12" t="s">
        <v>49</v>
      </c>
      <c r="D49" s="71">
        <f t="shared" ref="D49:U49" si="49">D50</f>
        <v>73.97</v>
      </c>
      <c r="E49" s="71">
        <f t="shared" si="49"/>
        <v>70.58</v>
      </c>
      <c r="F49" s="71">
        <f t="shared" si="49"/>
        <v>100</v>
      </c>
      <c r="G49" s="71">
        <f t="shared" si="49"/>
        <v>100</v>
      </c>
      <c r="H49" s="71">
        <f t="shared" si="49"/>
        <v>100</v>
      </c>
      <c r="I49" s="71">
        <f t="shared" si="49"/>
        <v>75</v>
      </c>
      <c r="J49" s="71">
        <f t="shared" si="49"/>
        <v>75</v>
      </c>
      <c r="K49" s="71">
        <f t="shared" si="49"/>
        <v>0</v>
      </c>
      <c r="L49" s="286">
        <f t="shared" si="49"/>
        <v>75</v>
      </c>
      <c r="M49" s="286">
        <f t="shared" si="49"/>
        <v>18</v>
      </c>
      <c r="N49" s="286">
        <f t="shared" si="49"/>
        <v>19</v>
      </c>
      <c r="O49" s="286">
        <f t="shared" si="49"/>
        <v>19</v>
      </c>
      <c r="P49" s="286">
        <f t="shared" si="49"/>
        <v>19</v>
      </c>
      <c r="Q49" s="117">
        <f t="shared" si="5"/>
        <v>75</v>
      </c>
      <c r="R49" s="117">
        <f t="shared" si="6"/>
        <v>0</v>
      </c>
      <c r="S49" s="286">
        <f t="shared" si="49"/>
        <v>80</v>
      </c>
      <c r="T49" s="286">
        <f t="shared" si="49"/>
        <v>87</v>
      </c>
      <c r="U49" s="286">
        <f t="shared" si="49"/>
        <v>90</v>
      </c>
    </row>
    <row r="50" spans="1:21" ht="12.75" customHeight="1">
      <c r="A50" s="34"/>
      <c r="B50" s="33" t="s">
        <v>50</v>
      </c>
      <c r="C50" s="12" t="s">
        <v>51</v>
      </c>
      <c r="D50" s="68">
        <v>73.97</v>
      </c>
      <c r="E50" s="197">
        <v>70.58</v>
      </c>
      <c r="F50" s="68">
        <v>100</v>
      </c>
      <c r="G50" s="68">
        <v>100</v>
      </c>
      <c r="H50" s="68">
        <v>100</v>
      </c>
      <c r="I50" s="197">
        <v>75</v>
      </c>
      <c r="J50" s="197">
        <v>75</v>
      </c>
      <c r="K50" s="197"/>
      <c r="L50" s="282">
        <v>75</v>
      </c>
      <c r="M50" s="282">
        <v>18</v>
      </c>
      <c r="N50" s="282">
        <v>19</v>
      </c>
      <c r="O50" s="282">
        <v>19</v>
      </c>
      <c r="P50" s="282">
        <v>19</v>
      </c>
      <c r="Q50" s="117">
        <f t="shared" si="5"/>
        <v>75</v>
      </c>
      <c r="R50" s="117">
        <f t="shared" si="6"/>
        <v>0</v>
      </c>
      <c r="S50" s="282">
        <v>80</v>
      </c>
      <c r="T50" s="282">
        <v>87</v>
      </c>
      <c r="U50" s="282">
        <v>90</v>
      </c>
    </row>
    <row r="51" spans="1:21" ht="14.25">
      <c r="A51" s="34">
        <v>3</v>
      </c>
      <c r="B51" s="26" t="s">
        <v>52</v>
      </c>
      <c r="C51" s="12">
        <v>33.020000000000003</v>
      </c>
      <c r="D51" s="71">
        <f t="shared" ref="D51:U51" si="50">D53+D54+D55+D52</f>
        <v>1394.75</v>
      </c>
      <c r="E51" s="71">
        <f t="shared" ref="E51:F51" si="51">E53+E54+E55+E52</f>
        <v>1345.5</v>
      </c>
      <c r="F51" s="71">
        <f t="shared" si="51"/>
        <v>1935</v>
      </c>
      <c r="G51" s="71">
        <f t="shared" si="50"/>
        <v>1935</v>
      </c>
      <c r="H51" s="71">
        <f t="shared" si="50"/>
        <v>1935</v>
      </c>
      <c r="I51" s="71">
        <f t="shared" si="50"/>
        <v>1405</v>
      </c>
      <c r="J51" s="71">
        <f t="shared" si="50"/>
        <v>1405</v>
      </c>
      <c r="K51" s="71">
        <f t="shared" ref="K51:L51" si="52">K53+K54+K55+K52</f>
        <v>0</v>
      </c>
      <c r="L51" s="286">
        <f t="shared" si="52"/>
        <v>1495</v>
      </c>
      <c r="M51" s="286">
        <f t="shared" ref="M51:P51" si="53">M53+M54+M55+M52</f>
        <v>374</v>
      </c>
      <c r="N51" s="286">
        <f t="shared" si="53"/>
        <v>374</v>
      </c>
      <c r="O51" s="286">
        <f t="shared" si="53"/>
        <v>374</v>
      </c>
      <c r="P51" s="286">
        <f t="shared" si="53"/>
        <v>373</v>
      </c>
      <c r="Q51" s="117">
        <f t="shared" si="5"/>
        <v>1495</v>
      </c>
      <c r="R51" s="117">
        <f t="shared" si="6"/>
        <v>0</v>
      </c>
      <c r="S51" s="286">
        <f t="shared" si="50"/>
        <v>1516</v>
      </c>
      <c r="T51" s="286">
        <f t="shared" si="50"/>
        <v>1519</v>
      </c>
      <c r="U51" s="286">
        <f t="shared" si="50"/>
        <v>1520</v>
      </c>
    </row>
    <row r="52" spans="1:21" ht="15">
      <c r="A52" s="34"/>
      <c r="B52" s="33" t="s">
        <v>523</v>
      </c>
      <c r="C52" s="12" t="s">
        <v>418</v>
      </c>
      <c r="D52" s="68">
        <v>1370.8</v>
      </c>
      <c r="E52" s="197">
        <v>1332.4</v>
      </c>
      <c r="F52" s="68">
        <v>1900</v>
      </c>
      <c r="G52" s="68">
        <v>1900</v>
      </c>
      <c r="H52" s="68">
        <v>1900</v>
      </c>
      <c r="I52" s="197">
        <v>1390</v>
      </c>
      <c r="J52" s="197">
        <v>1390</v>
      </c>
      <c r="K52" s="197"/>
      <c r="L52" s="282">
        <v>1480</v>
      </c>
      <c r="M52" s="282">
        <v>370</v>
      </c>
      <c r="N52" s="282">
        <v>370</v>
      </c>
      <c r="O52" s="282">
        <v>370</v>
      </c>
      <c r="P52" s="282">
        <v>370</v>
      </c>
      <c r="Q52" s="117">
        <f t="shared" si="5"/>
        <v>1480</v>
      </c>
      <c r="R52" s="117">
        <f t="shared" si="6"/>
        <v>0</v>
      </c>
      <c r="S52" s="282">
        <v>1500</v>
      </c>
      <c r="T52" s="282">
        <v>1500</v>
      </c>
      <c r="U52" s="282">
        <v>1500</v>
      </c>
    </row>
    <row r="53" spans="1:21" ht="13.5" customHeight="1">
      <c r="A53" s="34"/>
      <c r="B53" s="33" t="s">
        <v>53</v>
      </c>
      <c r="C53" s="12" t="s">
        <v>54</v>
      </c>
      <c r="D53" s="68">
        <v>14.05</v>
      </c>
      <c r="E53" s="197">
        <v>10</v>
      </c>
      <c r="F53" s="68">
        <v>20</v>
      </c>
      <c r="G53" s="68">
        <v>20</v>
      </c>
      <c r="H53" s="68">
        <v>20</v>
      </c>
      <c r="I53" s="197">
        <v>11</v>
      </c>
      <c r="J53" s="197">
        <v>11</v>
      </c>
      <c r="K53" s="197"/>
      <c r="L53" s="282">
        <v>11</v>
      </c>
      <c r="M53" s="282">
        <v>3</v>
      </c>
      <c r="N53" s="282">
        <v>3</v>
      </c>
      <c r="O53" s="282">
        <v>3</v>
      </c>
      <c r="P53" s="282">
        <v>2</v>
      </c>
      <c r="Q53" s="117">
        <f t="shared" si="5"/>
        <v>11</v>
      </c>
      <c r="R53" s="117">
        <f t="shared" si="6"/>
        <v>0</v>
      </c>
      <c r="S53" s="282">
        <v>12</v>
      </c>
      <c r="T53" s="282">
        <v>13</v>
      </c>
      <c r="U53" s="282">
        <v>13</v>
      </c>
    </row>
    <row r="54" spans="1:21" ht="15" hidden="1" customHeight="1">
      <c r="A54" s="34"/>
      <c r="B54" s="33" t="s">
        <v>55</v>
      </c>
      <c r="C54" s="12" t="s">
        <v>56</v>
      </c>
      <c r="D54" s="68"/>
      <c r="E54" s="197"/>
      <c r="F54" s="68"/>
      <c r="G54" s="68"/>
      <c r="H54" s="68"/>
      <c r="I54" s="197"/>
      <c r="J54" s="197"/>
      <c r="K54" s="197"/>
      <c r="L54" s="282"/>
      <c r="M54" s="282"/>
      <c r="N54" s="282"/>
      <c r="O54" s="282"/>
      <c r="P54" s="282"/>
      <c r="Q54" s="117">
        <f t="shared" si="5"/>
        <v>0</v>
      </c>
      <c r="R54" s="117">
        <f t="shared" si="6"/>
        <v>0</v>
      </c>
      <c r="S54" s="282"/>
      <c r="T54" s="282"/>
      <c r="U54" s="282"/>
    </row>
    <row r="55" spans="1:21" ht="15.75" customHeight="1">
      <c r="A55" s="34"/>
      <c r="B55" s="33" t="s">
        <v>52</v>
      </c>
      <c r="C55" s="12" t="s">
        <v>57</v>
      </c>
      <c r="D55" s="68">
        <v>9.9</v>
      </c>
      <c r="E55" s="197">
        <v>3.1</v>
      </c>
      <c r="F55" s="68">
        <v>15</v>
      </c>
      <c r="G55" s="68">
        <v>15</v>
      </c>
      <c r="H55" s="68">
        <v>15</v>
      </c>
      <c r="I55" s="197">
        <v>4</v>
      </c>
      <c r="J55" s="197">
        <v>4</v>
      </c>
      <c r="K55" s="197"/>
      <c r="L55" s="282">
        <v>4</v>
      </c>
      <c r="M55" s="282">
        <v>1</v>
      </c>
      <c r="N55" s="282">
        <v>1</v>
      </c>
      <c r="O55" s="282">
        <v>1</v>
      </c>
      <c r="P55" s="282">
        <v>1</v>
      </c>
      <c r="Q55" s="117">
        <f t="shared" si="5"/>
        <v>4</v>
      </c>
      <c r="R55" s="117">
        <f t="shared" si="6"/>
        <v>0</v>
      </c>
      <c r="S55" s="282">
        <v>4</v>
      </c>
      <c r="T55" s="282">
        <v>6</v>
      </c>
      <c r="U55" s="282">
        <v>7</v>
      </c>
    </row>
    <row r="56" spans="1:21" ht="14.25" customHeight="1">
      <c r="A56" s="34">
        <v>4</v>
      </c>
      <c r="B56" s="26" t="s">
        <v>58</v>
      </c>
      <c r="C56" s="12">
        <v>35.020000000000003</v>
      </c>
      <c r="D56" s="126">
        <f t="shared" ref="D56:U56" si="54">D57</f>
        <v>50.89</v>
      </c>
      <c r="E56" s="126">
        <f t="shared" si="54"/>
        <v>51.61</v>
      </c>
      <c r="F56" s="126">
        <f t="shared" si="54"/>
        <v>65</v>
      </c>
      <c r="G56" s="126">
        <f t="shared" si="54"/>
        <v>65</v>
      </c>
      <c r="H56" s="126">
        <f t="shared" si="54"/>
        <v>65</v>
      </c>
      <c r="I56" s="126">
        <f t="shared" si="54"/>
        <v>55</v>
      </c>
      <c r="J56" s="126">
        <f t="shared" si="54"/>
        <v>55</v>
      </c>
      <c r="K56" s="126">
        <f t="shared" si="54"/>
        <v>0</v>
      </c>
      <c r="L56" s="287">
        <f t="shared" si="54"/>
        <v>55</v>
      </c>
      <c r="M56" s="287">
        <f t="shared" si="54"/>
        <v>14</v>
      </c>
      <c r="N56" s="287">
        <f t="shared" si="54"/>
        <v>14</v>
      </c>
      <c r="O56" s="287">
        <f t="shared" si="54"/>
        <v>14</v>
      </c>
      <c r="P56" s="287">
        <f t="shared" si="54"/>
        <v>13</v>
      </c>
      <c r="Q56" s="117">
        <f t="shared" si="5"/>
        <v>55</v>
      </c>
      <c r="R56" s="117">
        <f t="shared" si="6"/>
        <v>0</v>
      </c>
      <c r="S56" s="287">
        <f t="shared" si="54"/>
        <v>57</v>
      </c>
      <c r="T56" s="287">
        <f t="shared" si="54"/>
        <v>60</v>
      </c>
      <c r="U56" s="287">
        <f t="shared" si="54"/>
        <v>60</v>
      </c>
    </row>
    <row r="57" spans="1:21" ht="15" customHeight="1">
      <c r="A57" s="34"/>
      <c r="B57" s="33" t="s">
        <v>59</v>
      </c>
      <c r="C57" s="12" t="s">
        <v>60</v>
      </c>
      <c r="D57" s="68">
        <v>50.89</v>
      </c>
      <c r="E57" s="197">
        <v>51.61</v>
      </c>
      <c r="F57" s="68">
        <v>65</v>
      </c>
      <c r="G57" s="68">
        <v>65</v>
      </c>
      <c r="H57" s="68">
        <v>65</v>
      </c>
      <c r="I57" s="197">
        <v>55</v>
      </c>
      <c r="J57" s="197">
        <v>55</v>
      </c>
      <c r="K57" s="197"/>
      <c r="L57" s="282">
        <v>55</v>
      </c>
      <c r="M57" s="282">
        <v>14</v>
      </c>
      <c r="N57" s="282">
        <v>14</v>
      </c>
      <c r="O57" s="282">
        <v>14</v>
      </c>
      <c r="P57" s="282">
        <v>13</v>
      </c>
      <c r="Q57" s="117">
        <f t="shared" si="5"/>
        <v>55</v>
      </c>
      <c r="R57" s="117">
        <f t="shared" si="6"/>
        <v>0</v>
      </c>
      <c r="S57" s="282">
        <v>57</v>
      </c>
      <c r="T57" s="282">
        <v>60</v>
      </c>
      <c r="U57" s="282">
        <v>60</v>
      </c>
    </row>
    <row r="58" spans="1:21" ht="13.5" customHeight="1">
      <c r="A58" s="34">
        <v>5</v>
      </c>
      <c r="B58" s="26" t="s">
        <v>61</v>
      </c>
      <c r="C58" s="12">
        <v>36.020000000000003</v>
      </c>
      <c r="D58" s="126">
        <f t="shared" ref="D58" si="55">D59+D61</f>
        <v>173.37</v>
      </c>
      <c r="E58" s="126">
        <f t="shared" ref="E58:F58" si="56">E59++E60+E61</f>
        <v>184.55</v>
      </c>
      <c r="F58" s="126">
        <f t="shared" si="56"/>
        <v>200</v>
      </c>
      <c r="G58" s="126">
        <f>G59++G60+G61</f>
        <v>200</v>
      </c>
      <c r="H58" s="126">
        <f t="shared" ref="H58:U58" si="57">H59++H60+H61</f>
        <v>200</v>
      </c>
      <c r="I58" s="126">
        <f t="shared" si="57"/>
        <v>35</v>
      </c>
      <c r="J58" s="126">
        <f t="shared" si="57"/>
        <v>35</v>
      </c>
      <c r="K58" s="126">
        <f t="shared" ref="K58:L58" si="58">K59++K60+K61</f>
        <v>0</v>
      </c>
      <c r="L58" s="287">
        <f t="shared" si="58"/>
        <v>35</v>
      </c>
      <c r="M58" s="287">
        <f t="shared" ref="M58:P58" si="59">M59++M60+M61</f>
        <v>9</v>
      </c>
      <c r="N58" s="287">
        <f t="shared" si="59"/>
        <v>9</v>
      </c>
      <c r="O58" s="287">
        <f t="shared" si="59"/>
        <v>9</v>
      </c>
      <c r="P58" s="287">
        <f t="shared" si="59"/>
        <v>8</v>
      </c>
      <c r="Q58" s="117">
        <f t="shared" si="5"/>
        <v>35</v>
      </c>
      <c r="R58" s="117">
        <f t="shared" si="6"/>
        <v>0</v>
      </c>
      <c r="S58" s="287">
        <f t="shared" si="57"/>
        <v>37</v>
      </c>
      <c r="T58" s="287">
        <f t="shared" si="57"/>
        <v>39</v>
      </c>
      <c r="U58" s="287">
        <f t="shared" si="57"/>
        <v>40</v>
      </c>
    </row>
    <row r="59" spans="1:21" ht="14.25" hidden="1" customHeight="1">
      <c r="A59" s="34"/>
      <c r="B59" s="33" t="s">
        <v>62</v>
      </c>
      <c r="C59" s="12" t="s">
        <v>63</v>
      </c>
      <c r="D59" s="68"/>
      <c r="E59" s="197"/>
      <c r="F59" s="68"/>
      <c r="G59" s="68"/>
      <c r="H59" s="68"/>
      <c r="I59" s="197"/>
      <c r="J59" s="197"/>
      <c r="K59" s="197"/>
      <c r="L59" s="282"/>
      <c r="M59" s="282"/>
      <c r="N59" s="282"/>
      <c r="O59" s="282"/>
      <c r="P59" s="282"/>
      <c r="Q59" s="117">
        <f t="shared" si="5"/>
        <v>0</v>
      </c>
      <c r="R59" s="117">
        <f t="shared" si="6"/>
        <v>0</v>
      </c>
      <c r="S59" s="282"/>
      <c r="T59" s="282"/>
      <c r="U59" s="282"/>
    </row>
    <row r="60" spans="1:21" ht="14.25" hidden="1" customHeight="1">
      <c r="A60" s="34"/>
      <c r="B60" s="33" t="s">
        <v>628</v>
      </c>
      <c r="C60" s="12" t="s">
        <v>629</v>
      </c>
      <c r="D60" s="68">
        <v>0</v>
      </c>
      <c r="E60" s="197">
        <v>153.88</v>
      </c>
      <c r="F60" s="68"/>
      <c r="G60" s="68"/>
      <c r="H60" s="68"/>
      <c r="I60" s="197">
        <v>0</v>
      </c>
      <c r="J60" s="197"/>
      <c r="K60" s="197">
        <v>0</v>
      </c>
      <c r="L60" s="282"/>
      <c r="M60" s="282"/>
      <c r="N60" s="282"/>
      <c r="O60" s="282"/>
      <c r="P60" s="282"/>
      <c r="Q60" s="117">
        <f t="shared" si="5"/>
        <v>0</v>
      </c>
      <c r="R60" s="117">
        <f t="shared" si="6"/>
        <v>0</v>
      </c>
      <c r="S60" s="282">
        <v>0</v>
      </c>
      <c r="T60" s="282">
        <v>0</v>
      </c>
      <c r="U60" s="282">
        <v>0</v>
      </c>
    </row>
    <row r="61" spans="1:21" ht="16.5" customHeight="1">
      <c r="A61" s="34"/>
      <c r="B61" s="33" t="s">
        <v>64</v>
      </c>
      <c r="C61" s="12" t="s">
        <v>65</v>
      </c>
      <c r="D61" s="68">
        <v>173.37</v>
      </c>
      <c r="E61" s="197">
        <v>30.67</v>
      </c>
      <c r="F61" s="68">
        <v>200</v>
      </c>
      <c r="G61" s="68">
        <v>200</v>
      </c>
      <c r="H61" s="68">
        <v>200</v>
      </c>
      <c r="I61" s="197">
        <v>35</v>
      </c>
      <c r="J61" s="197">
        <v>35</v>
      </c>
      <c r="K61" s="197"/>
      <c r="L61" s="282">
        <v>35</v>
      </c>
      <c r="M61" s="282">
        <v>9</v>
      </c>
      <c r="N61" s="282">
        <v>9</v>
      </c>
      <c r="O61" s="282">
        <v>9</v>
      </c>
      <c r="P61" s="282">
        <v>8</v>
      </c>
      <c r="Q61" s="117">
        <f t="shared" si="5"/>
        <v>35</v>
      </c>
      <c r="R61" s="117">
        <f t="shared" si="6"/>
        <v>0</v>
      </c>
      <c r="S61" s="282">
        <v>37</v>
      </c>
      <c r="T61" s="282">
        <v>39</v>
      </c>
      <c r="U61" s="282">
        <v>40</v>
      </c>
    </row>
    <row r="62" spans="1:21" ht="14.25">
      <c r="A62" s="34">
        <v>6</v>
      </c>
      <c r="B62" s="26" t="s">
        <v>66</v>
      </c>
      <c r="C62" s="12">
        <v>37.020000000000003</v>
      </c>
      <c r="D62" s="126">
        <f t="shared" ref="D62:U62" si="60">D63+D66</f>
        <v>55</v>
      </c>
      <c r="E62" s="126">
        <f t="shared" ref="E62:F62" si="61">E63+E66</f>
        <v>0</v>
      </c>
      <c r="F62" s="126">
        <f t="shared" si="61"/>
        <v>0</v>
      </c>
      <c r="G62" s="126">
        <f t="shared" si="60"/>
        <v>0</v>
      </c>
      <c r="H62" s="126">
        <f t="shared" si="60"/>
        <v>0</v>
      </c>
      <c r="I62" s="126">
        <f t="shared" si="60"/>
        <v>0</v>
      </c>
      <c r="J62" s="126">
        <f t="shared" si="60"/>
        <v>0</v>
      </c>
      <c r="K62" s="126">
        <f t="shared" ref="K62:L62" si="62">K63+K66</f>
        <v>0</v>
      </c>
      <c r="L62" s="287">
        <f t="shared" si="62"/>
        <v>0</v>
      </c>
      <c r="M62" s="287">
        <f t="shared" ref="M62:P62" si="63">M63+M66</f>
        <v>0</v>
      </c>
      <c r="N62" s="287">
        <f t="shared" si="63"/>
        <v>0</v>
      </c>
      <c r="O62" s="287">
        <f t="shared" si="63"/>
        <v>0</v>
      </c>
      <c r="P62" s="287">
        <f t="shared" si="63"/>
        <v>0</v>
      </c>
      <c r="Q62" s="117">
        <f t="shared" si="5"/>
        <v>0</v>
      </c>
      <c r="R62" s="117">
        <f t="shared" si="6"/>
        <v>0</v>
      </c>
      <c r="S62" s="287">
        <f t="shared" si="60"/>
        <v>0</v>
      </c>
      <c r="T62" s="287">
        <f t="shared" si="60"/>
        <v>0</v>
      </c>
      <c r="U62" s="287">
        <f t="shared" si="60"/>
        <v>0</v>
      </c>
    </row>
    <row r="63" spans="1:21" ht="0.75" customHeight="1">
      <c r="A63" s="34"/>
      <c r="B63" s="33" t="s">
        <v>67</v>
      </c>
      <c r="C63" s="12" t="s">
        <v>68</v>
      </c>
      <c r="D63" s="69">
        <v>55</v>
      </c>
      <c r="E63" s="197"/>
      <c r="F63" s="68">
        <v>0</v>
      </c>
      <c r="G63" s="68">
        <v>0</v>
      </c>
      <c r="H63" s="68">
        <v>0</v>
      </c>
      <c r="I63" s="197"/>
      <c r="J63" s="197"/>
      <c r="K63" s="197"/>
      <c r="L63" s="282"/>
      <c r="M63" s="282"/>
      <c r="N63" s="282"/>
      <c r="O63" s="282"/>
      <c r="P63" s="282"/>
      <c r="Q63" s="117">
        <f t="shared" si="5"/>
        <v>0</v>
      </c>
      <c r="R63" s="117">
        <f t="shared" si="6"/>
        <v>0</v>
      </c>
      <c r="S63" s="282"/>
      <c r="T63" s="282"/>
      <c r="U63" s="282"/>
    </row>
    <row r="64" spans="1:21" ht="45" customHeight="1">
      <c r="A64" s="34"/>
      <c r="B64" s="32" t="s">
        <v>736</v>
      </c>
      <c r="C64" s="12" t="s">
        <v>69</v>
      </c>
      <c r="D64" s="69">
        <v>0</v>
      </c>
      <c r="E64" s="197"/>
      <c r="F64" s="69">
        <v>-8640.5</v>
      </c>
      <c r="G64" s="66">
        <f>-G235+G100+G83+G96+G95+55582</f>
        <v>0</v>
      </c>
      <c r="H64" s="69">
        <v>-8640.5</v>
      </c>
      <c r="I64" s="197"/>
      <c r="J64" s="214">
        <v>-50356</v>
      </c>
      <c r="K64" s="197"/>
      <c r="L64" s="282">
        <v>0</v>
      </c>
      <c r="M64" s="282">
        <v>0</v>
      </c>
      <c r="N64" s="282">
        <v>0</v>
      </c>
      <c r="O64" s="282">
        <v>0</v>
      </c>
      <c r="P64" s="282">
        <v>0</v>
      </c>
      <c r="Q64" s="117">
        <f t="shared" si="5"/>
        <v>0</v>
      </c>
      <c r="R64" s="117">
        <f t="shared" si="6"/>
        <v>0</v>
      </c>
      <c r="S64" s="282">
        <f>200063-215946</f>
        <v>-15883</v>
      </c>
      <c r="T64" s="282">
        <f>68392-84948</f>
        <v>-16556</v>
      </c>
      <c r="U64" s="282">
        <f>-15270</f>
        <v>-15270</v>
      </c>
    </row>
    <row r="65" spans="1:21" ht="15">
      <c r="A65" s="34"/>
      <c r="B65" s="33" t="s">
        <v>737</v>
      </c>
      <c r="C65" s="12" t="s">
        <v>70</v>
      </c>
      <c r="D65" s="68">
        <v>0</v>
      </c>
      <c r="E65" s="197"/>
      <c r="F65" s="69">
        <f t="shared" ref="F65" si="64">-F64</f>
        <v>8640.5</v>
      </c>
      <c r="G65" s="68">
        <f t="shared" ref="G65:U65" si="65">-G64</f>
        <v>0</v>
      </c>
      <c r="H65" s="69">
        <f t="shared" si="65"/>
        <v>8640.5</v>
      </c>
      <c r="I65" s="69">
        <f t="shared" si="65"/>
        <v>0</v>
      </c>
      <c r="J65" s="69">
        <f t="shared" si="65"/>
        <v>50356</v>
      </c>
      <c r="K65" s="69">
        <f t="shared" ref="K65:L65" si="66">-K64</f>
        <v>0</v>
      </c>
      <c r="L65" s="283">
        <f t="shared" si="66"/>
        <v>0</v>
      </c>
      <c r="M65" s="283">
        <f t="shared" ref="M65:P65" si="67">-M64</f>
        <v>0</v>
      </c>
      <c r="N65" s="283">
        <f t="shared" si="67"/>
        <v>0</v>
      </c>
      <c r="O65" s="283">
        <f t="shared" si="67"/>
        <v>0</v>
      </c>
      <c r="P65" s="283">
        <f t="shared" si="67"/>
        <v>0</v>
      </c>
      <c r="Q65" s="117">
        <f t="shared" si="5"/>
        <v>0</v>
      </c>
      <c r="R65" s="117">
        <f t="shared" si="6"/>
        <v>0</v>
      </c>
      <c r="S65" s="283">
        <f t="shared" si="65"/>
        <v>15883</v>
      </c>
      <c r="T65" s="283">
        <f t="shared" si="65"/>
        <v>16556</v>
      </c>
      <c r="U65" s="283">
        <f t="shared" si="65"/>
        <v>15270</v>
      </c>
    </row>
    <row r="66" spans="1:21" ht="17.25" hidden="1" customHeight="1">
      <c r="A66" s="34"/>
      <c r="B66" s="33" t="s">
        <v>71</v>
      </c>
      <c r="C66" s="12" t="s">
        <v>72</v>
      </c>
      <c r="D66" s="68"/>
      <c r="E66" s="197"/>
      <c r="F66" s="68"/>
      <c r="G66" s="68"/>
      <c r="H66" s="68"/>
      <c r="I66" s="197"/>
      <c r="J66" s="197"/>
      <c r="K66" s="197"/>
      <c r="L66" s="282"/>
      <c r="M66" s="282"/>
      <c r="N66" s="282"/>
      <c r="O66" s="282"/>
      <c r="P66" s="282"/>
      <c r="Q66" s="117">
        <f t="shared" si="5"/>
        <v>0</v>
      </c>
      <c r="R66" s="117">
        <f t="shared" si="6"/>
        <v>0</v>
      </c>
      <c r="S66" s="282"/>
      <c r="T66" s="282"/>
      <c r="U66" s="282"/>
    </row>
    <row r="67" spans="1:21" ht="0.75" customHeight="1">
      <c r="A67" s="34">
        <v>7</v>
      </c>
      <c r="B67" s="26" t="s">
        <v>73</v>
      </c>
      <c r="C67" s="12">
        <v>39</v>
      </c>
      <c r="D67" s="69">
        <f t="shared" ref="D67:U67" si="68">D68+D69</f>
        <v>423.08</v>
      </c>
      <c r="E67" s="68">
        <f t="shared" ref="E67:F67" si="69">E68+E69</f>
        <v>303.33</v>
      </c>
      <c r="F67" s="68">
        <f t="shared" si="69"/>
        <v>0</v>
      </c>
      <c r="G67" s="68">
        <f t="shared" si="68"/>
        <v>0</v>
      </c>
      <c r="H67" s="68">
        <f t="shared" si="68"/>
        <v>0</v>
      </c>
      <c r="I67" s="68">
        <f t="shared" si="68"/>
        <v>0</v>
      </c>
      <c r="J67" s="68">
        <f t="shared" si="68"/>
        <v>0</v>
      </c>
      <c r="K67" s="68">
        <f t="shared" ref="K67:L67" si="70">K68+K69</f>
        <v>0</v>
      </c>
      <c r="L67" s="176">
        <f t="shared" si="70"/>
        <v>0</v>
      </c>
      <c r="M67" s="176">
        <f t="shared" ref="M67:P67" si="71">M68+M69</f>
        <v>0</v>
      </c>
      <c r="N67" s="176">
        <f t="shared" si="71"/>
        <v>0</v>
      </c>
      <c r="O67" s="176">
        <f t="shared" si="71"/>
        <v>0</v>
      </c>
      <c r="P67" s="176">
        <f t="shared" si="71"/>
        <v>0</v>
      </c>
      <c r="Q67" s="117">
        <f t="shared" si="5"/>
        <v>0</v>
      </c>
      <c r="R67" s="117">
        <f t="shared" si="6"/>
        <v>0</v>
      </c>
      <c r="S67" s="176">
        <f t="shared" si="68"/>
        <v>0</v>
      </c>
      <c r="T67" s="176">
        <f t="shared" si="68"/>
        <v>0</v>
      </c>
      <c r="U67" s="176">
        <f t="shared" si="68"/>
        <v>0</v>
      </c>
    </row>
    <row r="68" spans="1:21" ht="18.75" hidden="1" customHeight="1">
      <c r="A68" s="34"/>
      <c r="B68" s="33" t="s">
        <v>74</v>
      </c>
      <c r="C68" s="12" t="s">
        <v>75</v>
      </c>
      <c r="D68" s="69">
        <v>9.32</v>
      </c>
      <c r="E68" s="197"/>
      <c r="F68" s="68">
        <v>0</v>
      </c>
      <c r="G68" s="68">
        <v>0</v>
      </c>
      <c r="H68" s="68">
        <v>0</v>
      </c>
      <c r="I68" s="197">
        <v>0</v>
      </c>
      <c r="J68" s="197"/>
      <c r="K68" s="197">
        <v>0</v>
      </c>
      <c r="L68" s="282">
        <v>0</v>
      </c>
      <c r="M68" s="282">
        <v>0</v>
      </c>
      <c r="N68" s="282">
        <v>0</v>
      </c>
      <c r="O68" s="282">
        <v>0</v>
      </c>
      <c r="P68" s="282">
        <v>0</v>
      </c>
      <c r="Q68" s="117">
        <f t="shared" si="5"/>
        <v>0</v>
      </c>
      <c r="R68" s="117">
        <f t="shared" si="6"/>
        <v>0</v>
      </c>
      <c r="S68" s="282">
        <v>0</v>
      </c>
      <c r="T68" s="282">
        <v>0</v>
      </c>
      <c r="U68" s="282">
        <v>0</v>
      </c>
    </row>
    <row r="69" spans="1:21" ht="15" hidden="1" customHeight="1">
      <c r="A69" s="34"/>
      <c r="B69" s="33" t="s">
        <v>76</v>
      </c>
      <c r="C69" s="12" t="s">
        <v>77</v>
      </c>
      <c r="D69" s="68">
        <v>413.76</v>
      </c>
      <c r="E69" s="197">
        <v>303.33</v>
      </c>
      <c r="F69" s="68">
        <v>0</v>
      </c>
      <c r="G69" s="68">
        <v>0</v>
      </c>
      <c r="H69" s="68">
        <v>0</v>
      </c>
      <c r="I69" s="197">
        <v>0</v>
      </c>
      <c r="J69" s="197"/>
      <c r="K69" s="197">
        <v>0</v>
      </c>
      <c r="L69" s="282">
        <v>0</v>
      </c>
      <c r="M69" s="282">
        <v>0</v>
      </c>
      <c r="N69" s="282">
        <v>0</v>
      </c>
      <c r="O69" s="282">
        <v>0</v>
      </c>
      <c r="P69" s="282">
        <v>0</v>
      </c>
      <c r="Q69" s="117">
        <f t="shared" si="5"/>
        <v>0</v>
      </c>
      <c r="R69" s="117">
        <f t="shared" si="6"/>
        <v>0</v>
      </c>
      <c r="S69" s="282">
        <v>0</v>
      </c>
      <c r="T69" s="282">
        <v>0</v>
      </c>
      <c r="U69" s="282">
        <v>0</v>
      </c>
    </row>
    <row r="70" spans="1:21" ht="15" hidden="1" customHeight="1">
      <c r="A70" s="34"/>
      <c r="B70" s="26" t="s">
        <v>630</v>
      </c>
      <c r="C70" s="12"/>
      <c r="D70" s="68"/>
      <c r="E70" s="197"/>
      <c r="F70" s="68"/>
      <c r="G70" s="68"/>
      <c r="H70" s="68"/>
      <c r="I70" s="197"/>
      <c r="J70" s="197"/>
      <c r="K70" s="197"/>
      <c r="L70" s="282"/>
      <c r="M70" s="282"/>
      <c r="N70" s="282"/>
      <c r="O70" s="282"/>
      <c r="P70" s="282"/>
      <c r="Q70" s="117">
        <f t="shared" si="5"/>
        <v>0</v>
      </c>
      <c r="R70" s="117">
        <f t="shared" si="6"/>
        <v>0</v>
      </c>
      <c r="S70" s="282"/>
      <c r="T70" s="282"/>
      <c r="U70" s="282"/>
    </row>
    <row r="71" spans="1:21" ht="15.75" hidden="1" customHeight="1">
      <c r="A71" s="34">
        <v>8</v>
      </c>
      <c r="B71" s="33" t="s">
        <v>78</v>
      </c>
      <c r="C71" s="12">
        <v>40</v>
      </c>
      <c r="D71" s="68">
        <f t="shared" ref="D71:H71" si="72">D72</f>
        <v>0</v>
      </c>
      <c r="E71" s="197"/>
      <c r="F71" s="68">
        <f t="shared" si="72"/>
        <v>0</v>
      </c>
      <c r="G71" s="68">
        <f t="shared" si="72"/>
        <v>0</v>
      </c>
      <c r="H71" s="68">
        <f t="shared" si="72"/>
        <v>0</v>
      </c>
      <c r="I71" s="197"/>
      <c r="J71" s="197"/>
      <c r="K71" s="197"/>
      <c r="L71" s="282"/>
      <c r="M71" s="282"/>
      <c r="N71" s="282"/>
      <c r="O71" s="282"/>
      <c r="P71" s="282"/>
      <c r="Q71" s="117">
        <f t="shared" si="5"/>
        <v>0</v>
      </c>
      <c r="R71" s="117">
        <f t="shared" si="6"/>
        <v>0</v>
      </c>
      <c r="S71" s="282"/>
      <c r="T71" s="282"/>
      <c r="U71" s="282"/>
    </row>
    <row r="72" spans="1:21" ht="16.5" hidden="1" customHeight="1">
      <c r="A72" s="34"/>
      <c r="B72" s="33" t="s">
        <v>79</v>
      </c>
      <c r="C72" s="12">
        <v>4014</v>
      </c>
      <c r="D72" s="68"/>
      <c r="E72" s="197"/>
      <c r="F72" s="68"/>
      <c r="G72" s="68"/>
      <c r="H72" s="68"/>
      <c r="I72" s="197"/>
      <c r="J72" s="197"/>
      <c r="K72" s="197"/>
      <c r="L72" s="282"/>
      <c r="M72" s="282"/>
      <c r="N72" s="282"/>
      <c r="O72" s="282"/>
      <c r="P72" s="282"/>
      <c r="Q72" s="117">
        <f t="shared" si="5"/>
        <v>0</v>
      </c>
      <c r="R72" s="117">
        <f t="shared" si="6"/>
        <v>0</v>
      </c>
      <c r="S72" s="282"/>
      <c r="T72" s="282"/>
      <c r="U72" s="282"/>
    </row>
    <row r="73" spans="1:21" ht="11.25" hidden="1" customHeight="1">
      <c r="A73" s="34"/>
      <c r="B73" s="33"/>
      <c r="C73" s="12"/>
      <c r="D73" s="68"/>
      <c r="E73" s="197"/>
      <c r="F73" s="68"/>
      <c r="G73" s="68"/>
      <c r="H73" s="68"/>
      <c r="I73" s="197"/>
      <c r="J73" s="197"/>
      <c r="K73" s="197"/>
      <c r="L73" s="282"/>
      <c r="M73" s="282"/>
      <c r="N73" s="282"/>
      <c r="O73" s="282"/>
      <c r="P73" s="282"/>
      <c r="Q73" s="117">
        <f t="shared" si="5"/>
        <v>0</v>
      </c>
      <c r="R73" s="117">
        <f t="shared" si="6"/>
        <v>0</v>
      </c>
      <c r="S73" s="282"/>
      <c r="T73" s="282"/>
      <c r="U73" s="282"/>
    </row>
    <row r="74" spans="1:21" ht="18.75" customHeight="1">
      <c r="A74" s="19" t="s">
        <v>80</v>
      </c>
      <c r="B74" s="26" t="s">
        <v>81</v>
      </c>
      <c r="C74" s="12" t="s">
        <v>82</v>
      </c>
      <c r="D74" s="67">
        <f t="shared" ref="D74:U74" si="73">D75</f>
        <v>14862</v>
      </c>
      <c r="E74" s="67">
        <f t="shared" si="73"/>
        <v>34625.86</v>
      </c>
      <c r="F74" s="67">
        <f t="shared" si="73"/>
        <v>47479.839999999997</v>
      </c>
      <c r="G74" s="67">
        <f t="shared" si="73"/>
        <v>30621</v>
      </c>
      <c r="H74" s="67">
        <f t="shared" si="73"/>
        <v>47479.839999999997</v>
      </c>
      <c r="I74" s="67">
        <f t="shared" si="73"/>
        <v>38847.910000000003</v>
      </c>
      <c r="J74" s="67">
        <f t="shared" si="73"/>
        <v>58850</v>
      </c>
      <c r="K74" s="67">
        <f t="shared" si="73"/>
        <v>18113.91</v>
      </c>
      <c r="L74" s="175">
        <f t="shared" si="73"/>
        <v>54183</v>
      </c>
      <c r="M74" s="175">
        <f t="shared" si="73"/>
        <v>18564</v>
      </c>
      <c r="N74" s="175">
        <f t="shared" si="73"/>
        <v>13664</v>
      </c>
      <c r="O74" s="175">
        <f t="shared" si="73"/>
        <v>12330</v>
      </c>
      <c r="P74" s="175">
        <f t="shared" si="73"/>
        <v>9625</v>
      </c>
      <c r="Q74" s="117">
        <f t="shared" si="5"/>
        <v>54183</v>
      </c>
      <c r="R74" s="117">
        <f t="shared" si="6"/>
        <v>0</v>
      </c>
      <c r="S74" s="175">
        <f t="shared" si="73"/>
        <v>92233</v>
      </c>
      <c r="T74" s="175">
        <f t="shared" si="73"/>
        <v>18532</v>
      </c>
      <c r="U74" s="175">
        <f t="shared" si="73"/>
        <v>8500</v>
      </c>
    </row>
    <row r="75" spans="1:21" ht="14.25" customHeight="1">
      <c r="A75" s="34"/>
      <c r="B75" s="33" t="s">
        <v>83</v>
      </c>
      <c r="C75" s="12">
        <v>42.02</v>
      </c>
      <c r="D75" s="65">
        <f t="shared" ref="D75:E75" si="74">D76+D77+D81+D82+D83+D84+D86+D87+D88+D89+D92+D93+D85+D95+D96+D97+D91</f>
        <v>14862</v>
      </c>
      <c r="E75" s="65">
        <f t="shared" si="74"/>
        <v>34625.86</v>
      </c>
      <c r="F75" s="65">
        <f>F76+F77+F81+F82+F83+F84+F86+F87+F88+F89+F92+F93+F85+F95+F96+F97+F91</f>
        <v>47479.839999999997</v>
      </c>
      <c r="G75" s="65">
        <f>G76+G77+G81+G82+G83+G84+G86+G87+G88+G89+G92+G93+G85+G95+G96+G97+G91</f>
        <v>30621</v>
      </c>
      <c r="H75" s="65">
        <f>H76+H77+H81+H82+H83+H84+H86+H87+H88+H89+H92+H93+H85+H95+H96+H97+H91</f>
        <v>47479.839999999997</v>
      </c>
      <c r="I75" s="65">
        <f t="shared" ref="I75:U75" si="75">I76+I77+I81+I82+I83+I84+I86+I87+I88+I89+I92+I93+I85+I95+I96+I97+I91</f>
        <v>38847.910000000003</v>
      </c>
      <c r="J75" s="65">
        <f t="shared" si="75"/>
        <v>58850</v>
      </c>
      <c r="K75" s="65">
        <f t="shared" ref="K75:L75" si="76">K76+K77+K81+K82+K83+K84+K86+K87+K88+K89+K92+K93+K85+K95+K96+K97+K91</f>
        <v>18113.91</v>
      </c>
      <c r="L75" s="117">
        <f t="shared" si="76"/>
        <v>54183</v>
      </c>
      <c r="M75" s="117">
        <f t="shared" ref="M75:P75" si="77">M76+M77+M81+M82+M83+M84+M86+M87+M88+M89+M92+M93+M85+M95+M96+M97+M91</f>
        <v>18564</v>
      </c>
      <c r="N75" s="117">
        <f t="shared" si="77"/>
        <v>13664</v>
      </c>
      <c r="O75" s="117">
        <f t="shared" si="77"/>
        <v>12330</v>
      </c>
      <c r="P75" s="117">
        <f t="shared" si="77"/>
        <v>9625</v>
      </c>
      <c r="Q75" s="117">
        <f t="shared" si="5"/>
        <v>54183</v>
      </c>
      <c r="R75" s="117">
        <f t="shared" si="6"/>
        <v>0</v>
      </c>
      <c r="S75" s="117">
        <f t="shared" si="75"/>
        <v>92233</v>
      </c>
      <c r="T75" s="117">
        <f t="shared" si="75"/>
        <v>18532</v>
      </c>
      <c r="U75" s="117">
        <f t="shared" si="75"/>
        <v>8500</v>
      </c>
    </row>
    <row r="76" spans="1:21" ht="29.25" hidden="1" customHeight="1">
      <c r="A76" s="34"/>
      <c r="B76" s="21" t="s">
        <v>84</v>
      </c>
      <c r="C76" s="12" t="s">
        <v>85</v>
      </c>
      <c r="D76" s="68"/>
      <c r="E76" s="197"/>
      <c r="F76" s="68"/>
      <c r="G76" s="68"/>
      <c r="H76" s="68"/>
      <c r="I76" s="197"/>
      <c r="J76" s="197"/>
      <c r="K76" s="197"/>
      <c r="L76" s="282"/>
      <c r="M76" s="282"/>
      <c r="N76" s="282"/>
      <c r="O76" s="282"/>
      <c r="P76" s="282"/>
      <c r="Q76" s="117">
        <f t="shared" si="5"/>
        <v>0</v>
      </c>
      <c r="R76" s="117">
        <f t="shared" si="6"/>
        <v>0</v>
      </c>
      <c r="S76" s="282"/>
      <c r="T76" s="282"/>
      <c r="U76" s="282"/>
    </row>
    <row r="77" spans="1:21" ht="29.25" hidden="1" customHeight="1">
      <c r="A77" s="34"/>
      <c r="B77" s="21" t="s">
        <v>86</v>
      </c>
      <c r="C77" s="84" t="s">
        <v>87</v>
      </c>
      <c r="D77" s="75">
        <f t="shared" ref="D77:U77" si="78">D78+D79+D80</f>
        <v>5412</v>
      </c>
      <c r="E77" s="75">
        <f t="shared" ref="E77:F77" si="79">E78+E79+E80</f>
        <v>2857</v>
      </c>
      <c r="F77" s="75">
        <f t="shared" si="79"/>
        <v>3822</v>
      </c>
      <c r="G77" s="75">
        <f t="shared" si="78"/>
        <v>0</v>
      </c>
      <c r="H77" s="75">
        <f t="shared" si="78"/>
        <v>3822</v>
      </c>
      <c r="I77" s="75">
        <f t="shared" si="78"/>
        <v>0</v>
      </c>
      <c r="J77" s="75">
        <f t="shared" si="78"/>
        <v>0</v>
      </c>
      <c r="K77" s="75">
        <f t="shared" ref="K77:L77" si="80">K78+K79+K80</f>
        <v>0</v>
      </c>
      <c r="L77" s="284">
        <f t="shared" si="80"/>
        <v>0</v>
      </c>
      <c r="M77" s="284">
        <f t="shared" ref="M77:P77" si="81">M78+M79+M80</f>
        <v>0</v>
      </c>
      <c r="N77" s="284">
        <f t="shared" si="81"/>
        <v>0</v>
      </c>
      <c r="O77" s="284">
        <f t="shared" si="81"/>
        <v>0</v>
      </c>
      <c r="P77" s="284">
        <f t="shared" si="81"/>
        <v>0</v>
      </c>
      <c r="Q77" s="117">
        <f t="shared" ref="Q77:Q140" si="82">M77+N77+O77+P77</f>
        <v>0</v>
      </c>
      <c r="R77" s="117">
        <f t="shared" ref="R77:R140" si="83">L77-Q77</f>
        <v>0</v>
      </c>
      <c r="S77" s="284">
        <f t="shared" si="78"/>
        <v>0</v>
      </c>
      <c r="T77" s="284">
        <f t="shared" si="78"/>
        <v>0</v>
      </c>
      <c r="U77" s="284">
        <f t="shared" si="78"/>
        <v>0</v>
      </c>
    </row>
    <row r="78" spans="1:21" ht="29.25" hidden="1" customHeight="1">
      <c r="A78" s="34"/>
      <c r="B78" s="35" t="s">
        <v>88</v>
      </c>
      <c r="C78" s="12" t="s">
        <v>89</v>
      </c>
      <c r="D78" s="68">
        <v>5412</v>
      </c>
      <c r="E78" s="197">
        <v>2857</v>
      </c>
      <c r="F78" s="68">
        <v>3822</v>
      </c>
      <c r="G78" s="68"/>
      <c r="H78" s="68">
        <v>3822</v>
      </c>
      <c r="I78" s="197"/>
      <c r="J78" s="197"/>
      <c r="K78" s="197"/>
      <c r="L78" s="282"/>
      <c r="M78" s="282"/>
      <c r="N78" s="282"/>
      <c r="O78" s="282"/>
      <c r="P78" s="282"/>
      <c r="Q78" s="117">
        <f t="shared" si="82"/>
        <v>0</v>
      </c>
      <c r="R78" s="117">
        <f t="shared" si="83"/>
        <v>0</v>
      </c>
      <c r="S78" s="282"/>
      <c r="T78" s="282"/>
      <c r="U78" s="282"/>
    </row>
    <row r="79" spans="1:21" ht="15" hidden="1" customHeight="1">
      <c r="A79" s="34"/>
      <c r="B79" s="21" t="s">
        <v>90</v>
      </c>
      <c r="C79" s="12" t="s">
        <v>91</v>
      </c>
      <c r="D79" s="68"/>
      <c r="E79" s="197"/>
      <c r="F79" s="68"/>
      <c r="G79" s="68"/>
      <c r="H79" s="68"/>
      <c r="I79" s="197"/>
      <c r="J79" s="197"/>
      <c r="K79" s="197"/>
      <c r="L79" s="282"/>
      <c r="M79" s="282"/>
      <c r="N79" s="282"/>
      <c r="O79" s="282"/>
      <c r="P79" s="282"/>
      <c r="Q79" s="117">
        <f t="shared" si="82"/>
        <v>0</v>
      </c>
      <c r="R79" s="117">
        <f t="shared" si="83"/>
        <v>0</v>
      </c>
      <c r="S79" s="282"/>
      <c r="T79" s="282"/>
      <c r="U79" s="282"/>
    </row>
    <row r="80" spans="1:21" ht="18.75" hidden="1" customHeight="1">
      <c r="A80" s="34"/>
      <c r="B80" s="21" t="s">
        <v>92</v>
      </c>
      <c r="C80" s="12" t="s">
        <v>93</v>
      </c>
      <c r="D80" s="68"/>
      <c r="E80" s="197"/>
      <c r="F80" s="68"/>
      <c r="G80" s="68"/>
      <c r="H80" s="68"/>
      <c r="I80" s="197"/>
      <c r="J80" s="197"/>
      <c r="K80" s="197"/>
      <c r="L80" s="282"/>
      <c r="M80" s="282"/>
      <c r="N80" s="282"/>
      <c r="O80" s="282"/>
      <c r="P80" s="282"/>
      <c r="Q80" s="117">
        <f t="shared" si="82"/>
        <v>0</v>
      </c>
      <c r="R80" s="117">
        <f t="shared" si="83"/>
        <v>0</v>
      </c>
      <c r="S80" s="282"/>
      <c r="T80" s="282"/>
      <c r="U80" s="282"/>
    </row>
    <row r="81" spans="1:21" ht="25.5" hidden="1" customHeight="1">
      <c r="A81" s="34"/>
      <c r="B81" s="35" t="s">
        <v>94</v>
      </c>
      <c r="C81" s="12" t="s">
        <v>95</v>
      </c>
      <c r="D81" s="68"/>
      <c r="E81" s="197"/>
      <c r="F81" s="68"/>
      <c r="G81" s="68"/>
      <c r="H81" s="68"/>
      <c r="I81" s="197"/>
      <c r="J81" s="197"/>
      <c r="K81" s="197"/>
      <c r="L81" s="282"/>
      <c r="M81" s="282"/>
      <c r="N81" s="282"/>
      <c r="O81" s="282"/>
      <c r="P81" s="282"/>
      <c r="Q81" s="117">
        <f t="shared" si="82"/>
        <v>0</v>
      </c>
      <c r="R81" s="117">
        <f t="shared" si="83"/>
        <v>0</v>
      </c>
      <c r="S81" s="282"/>
      <c r="T81" s="282"/>
      <c r="U81" s="282"/>
    </row>
    <row r="82" spans="1:21" ht="25.5" hidden="1" customHeight="1">
      <c r="A82" s="34"/>
      <c r="B82" s="35" t="s">
        <v>96</v>
      </c>
      <c r="C82" s="12" t="s">
        <v>97</v>
      </c>
      <c r="D82" s="68"/>
      <c r="E82" s="197"/>
      <c r="F82" s="68"/>
      <c r="G82" s="68"/>
      <c r="H82" s="68"/>
      <c r="I82" s="197"/>
      <c r="J82" s="197"/>
      <c r="K82" s="197"/>
      <c r="L82" s="282"/>
      <c r="M82" s="282"/>
      <c r="N82" s="282"/>
      <c r="O82" s="282"/>
      <c r="P82" s="282"/>
      <c r="Q82" s="117">
        <f t="shared" si="82"/>
        <v>0</v>
      </c>
      <c r="R82" s="117">
        <f t="shared" si="83"/>
        <v>0</v>
      </c>
      <c r="S82" s="282"/>
      <c r="T82" s="282"/>
      <c r="U82" s="282"/>
    </row>
    <row r="83" spans="1:21" ht="15" hidden="1" customHeight="1">
      <c r="A83" s="34"/>
      <c r="B83" s="21" t="s">
        <v>98</v>
      </c>
      <c r="C83" s="12" t="s">
        <v>99</v>
      </c>
      <c r="D83" s="66"/>
      <c r="E83" s="197"/>
      <c r="F83" s="66"/>
      <c r="G83" s="66"/>
      <c r="H83" s="66"/>
      <c r="I83" s="197"/>
      <c r="J83" s="197"/>
      <c r="K83" s="197"/>
      <c r="L83" s="282"/>
      <c r="M83" s="282"/>
      <c r="N83" s="282"/>
      <c r="O83" s="282"/>
      <c r="P83" s="282"/>
      <c r="Q83" s="117">
        <f t="shared" si="82"/>
        <v>0</v>
      </c>
      <c r="R83" s="117">
        <f t="shared" si="83"/>
        <v>0</v>
      </c>
      <c r="S83" s="282"/>
      <c r="T83" s="282"/>
      <c r="U83" s="282"/>
    </row>
    <row r="84" spans="1:21" ht="14.25" customHeight="1">
      <c r="A84" s="34"/>
      <c r="B84" s="21" t="s">
        <v>100</v>
      </c>
      <c r="C84" s="12" t="s">
        <v>101</v>
      </c>
      <c r="D84" s="72">
        <v>1059</v>
      </c>
      <c r="E84" s="68">
        <f t="shared" ref="E84:F84" si="84">E760</f>
        <v>735.75</v>
      </c>
      <c r="F84" s="68">
        <f t="shared" si="84"/>
        <v>967</v>
      </c>
      <c r="G84" s="68">
        <f t="shared" ref="G84:U84" si="85">G760</f>
        <v>967</v>
      </c>
      <c r="H84" s="68">
        <f t="shared" si="85"/>
        <v>967</v>
      </c>
      <c r="I84" s="68">
        <f t="shared" si="85"/>
        <v>2000</v>
      </c>
      <c r="J84" s="68">
        <f t="shared" si="85"/>
        <v>2000</v>
      </c>
      <c r="K84" s="68">
        <f t="shared" ref="K84:L84" si="86">K760</f>
        <v>2000</v>
      </c>
      <c r="L84" s="176">
        <f t="shared" si="86"/>
        <v>1610</v>
      </c>
      <c r="M84" s="176">
        <f t="shared" ref="M84:P84" si="87">M760</f>
        <v>529</v>
      </c>
      <c r="N84" s="176">
        <f t="shared" si="87"/>
        <v>540</v>
      </c>
      <c r="O84" s="176">
        <f t="shared" si="87"/>
        <v>541</v>
      </c>
      <c r="P84" s="176">
        <f t="shared" si="87"/>
        <v>0</v>
      </c>
      <c r="Q84" s="117">
        <f t="shared" si="82"/>
        <v>1610</v>
      </c>
      <c r="R84" s="117">
        <f t="shared" si="83"/>
        <v>0</v>
      </c>
      <c r="S84" s="176">
        <f t="shared" si="85"/>
        <v>2000</v>
      </c>
      <c r="T84" s="176">
        <f t="shared" si="85"/>
        <v>2000</v>
      </c>
      <c r="U84" s="176">
        <f t="shared" si="85"/>
        <v>2000</v>
      </c>
    </row>
    <row r="85" spans="1:21" ht="15" hidden="1" customHeight="1">
      <c r="A85" s="34"/>
      <c r="B85" s="21" t="s">
        <v>102</v>
      </c>
      <c r="C85" s="12" t="s">
        <v>103</v>
      </c>
      <c r="D85" s="68"/>
      <c r="E85" s="197">
        <v>2558</v>
      </c>
      <c r="F85" s="68">
        <v>2558</v>
      </c>
      <c r="G85" s="68"/>
      <c r="H85" s="68">
        <v>2558</v>
      </c>
      <c r="I85" s="197"/>
      <c r="J85" s="197"/>
      <c r="K85" s="197"/>
      <c r="L85" s="282"/>
      <c r="M85" s="315"/>
      <c r="N85" s="315"/>
      <c r="O85" s="315"/>
      <c r="P85" s="315"/>
      <c r="Q85" s="117">
        <f t="shared" si="82"/>
        <v>0</v>
      </c>
      <c r="R85" s="117">
        <f t="shared" si="83"/>
        <v>0</v>
      </c>
      <c r="S85" s="282"/>
      <c r="T85" s="282"/>
      <c r="U85" s="282"/>
    </row>
    <row r="86" spans="1:21" ht="13.5" hidden="1" customHeight="1">
      <c r="A86" s="34"/>
      <c r="B86" s="21" t="s">
        <v>104</v>
      </c>
      <c r="C86" s="12" t="s">
        <v>105</v>
      </c>
      <c r="D86" s="68"/>
      <c r="E86" s="197"/>
      <c r="F86" s="68"/>
      <c r="G86" s="68"/>
      <c r="H86" s="68"/>
      <c r="I86" s="197"/>
      <c r="J86" s="197"/>
      <c r="K86" s="197"/>
      <c r="L86" s="282"/>
      <c r="M86" s="315"/>
      <c r="N86" s="315"/>
      <c r="O86" s="315"/>
      <c r="P86" s="315"/>
      <c r="Q86" s="117">
        <f t="shared" si="82"/>
        <v>0</v>
      </c>
      <c r="R86" s="117">
        <f t="shared" si="83"/>
        <v>0</v>
      </c>
      <c r="S86" s="282"/>
      <c r="T86" s="282"/>
      <c r="U86" s="282"/>
    </row>
    <row r="87" spans="1:21" ht="15" hidden="1" customHeight="1">
      <c r="A87" s="34"/>
      <c r="B87" s="21" t="s">
        <v>106</v>
      </c>
      <c r="C87" s="12" t="s">
        <v>107</v>
      </c>
      <c r="D87" s="68"/>
      <c r="E87" s="197"/>
      <c r="F87" s="68"/>
      <c r="G87" s="68"/>
      <c r="H87" s="68"/>
      <c r="I87" s="197"/>
      <c r="J87" s="197"/>
      <c r="K87" s="197"/>
      <c r="L87" s="282"/>
      <c r="M87" s="315"/>
      <c r="N87" s="315"/>
      <c r="O87" s="315"/>
      <c r="P87" s="315"/>
      <c r="Q87" s="117">
        <f t="shared" si="82"/>
        <v>0</v>
      </c>
      <c r="R87" s="117">
        <f t="shared" si="83"/>
        <v>0</v>
      </c>
      <c r="S87" s="282"/>
      <c r="T87" s="282"/>
      <c r="U87" s="282"/>
    </row>
    <row r="88" spans="1:21" ht="16.5" customHeight="1">
      <c r="A88" s="34"/>
      <c r="B88" s="21" t="s">
        <v>108</v>
      </c>
      <c r="C88" s="12" t="s">
        <v>109</v>
      </c>
      <c r="D88" s="72">
        <v>5277</v>
      </c>
      <c r="E88" s="197">
        <v>5147.84</v>
      </c>
      <c r="F88" s="68">
        <v>5366</v>
      </c>
      <c r="G88" s="68">
        <v>5524</v>
      </c>
      <c r="H88" s="68">
        <v>5366</v>
      </c>
      <c r="I88" s="197">
        <v>6337</v>
      </c>
      <c r="J88" s="197">
        <v>6337</v>
      </c>
      <c r="K88" s="197"/>
      <c r="L88" s="282">
        <f>5288-1264</f>
        <v>4024</v>
      </c>
      <c r="M88" s="315">
        <v>1385</v>
      </c>
      <c r="N88" s="315">
        <v>1500</v>
      </c>
      <c r="O88" s="315">
        <f>1400-261</f>
        <v>1139</v>
      </c>
      <c r="P88" s="315">
        <v>0</v>
      </c>
      <c r="Q88" s="117">
        <f t="shared" si="82"/>
        <v>4024</v>
      </c>
      <c r="R88" s="117">
        <f t="shared" si="83"/>
        <v>0</v>
      </c>
      <c r="S88" s="282">
        <v>6000</v>
      </c>
      <c r="T88" s="282">
        <v>6500</v>
      </c>
      <c r="U88" s="282">
        <v>6500</v>
      </c>
    </row>
    <row r="89" spans="1:21" ht="0.75" customHeight="1">
      <c r="A89" s="34"/>
      <c r="B89" s="21" t="s">
        <v>110</v>
      </c>
      <c r="C89" s="12" t="s">
        <v>111</v>
      </c>
      <c r="D89" s="68"/>
      <c r="E89" s="197"/>
      <c r="F89" s="68"/>
      <c r="G89" s="68"/>
      <c r="H89" s="68"/>
      <c r="I89" s="197"/>
      <c r="J89" s="197"/>
      <c r="K89" s="197"/>
      <c r="L89" s="282"/>
      <c r="M89" s="282"/>
      <c r="N89" s="282"/>
      <c r="O89" s="282"/>
      <c r="P89" s="282"/>
      <c r="Q89" s="117">
        <f t="shared" si="82"/>
        <v>0</v>
      </c>
      <c r="R89" s="117">
        <f t="shared" si="83"/>
        <v>0</v>
      </c>
      <c r="S89" s="282"/>
      <c r="T89" s="282"/>
      <c r="U89" s="282"/>
    </row>
    <row r="90" spans="1:21" ht="17.25" hidden="1" customHeight="1">
      <c r="A90" s="34"/>
      <c r="B90" s="21" t="s">
        <v>112</v>
      </c>
      <c r="C90" s="12" t="s">
        <v>113</v>
      </c>
      <c r="D90" s="68"/>
      <c r="E90" s="197"/>
      <c r="F90" s="68"/>
      <c r="G90" s="68"/>
      <c r="H90" s="68"/>
      <c r="I90" s="197"/>
      <c r="J90" s="197"/>
      <c r="K90" s="197"/>
      <c r="L90" s="282"/>
      <c r="M90" s="282"/>
      <c r="N90" s="282"/>
      <c r="O90" s="282"/>
      <c r="P90" s="282"/>
      <c r="Q90" s="117">
        <f t="shared" si="82"/>
        <v>0</v>
      </c>
      <c r="R90" s="117">
        <f t="shared" si="83"/>
        <v>0</v>
      </c>
      <c r="S90" s="282"/>
      <c r="T90" s="282"/>
      <c r="U90" s="282"/>
    </row>
    <row r="91" spans="1:21" ht="27.75" hidden="1" customHeight="1">
      <c r="A91" s="34"/>
      <c r="B91" s="35" t="s">
        <v>114</v>
      </c>
      <c r="C91" s="12" t="s">
        <v>115</v>
      </c>
      <c r="D91" s="68"/>
      <c r="E91" s="197"/>
      <c r="F91" s="68"/>
      <c r="G91" s="68"/>
      <c r="H91" s="68"/>
      <c r="I91" s="197"/>
      <c r="J91" s="197"/>
      <c r="K91" s="197"/>
      <c r="L91" s="282"/>
      <c r="M91" s="282"/>
      <c r="N91" s="282"/>
      <c r="O91" s="282"/>
      <c r="P91" s="282"/>
      <c r="Q91" s="117">
        <f t="shared" si="82"/>
        <v>0</v>
      </c>
      <c r="R91" s="117">
        <f t="shared" si="83"/>
        <v>0</v>
      </c>
      <c r="S91" s="282"/>
      <c r="T91" s="282"/>
      <c r="U91" s="282"/>
    </row>
    <row r="92" spans="1:21" ht="31.5" hidden="1" customHeight="1">
      <c r="A92" s="34"/>
      <c r="B92" s="35" t="s">
        <v>116</v>
      </c>
      <c r="C92" s="12" t="s">
        <v>117</v>
      </c>
      <c r="D92" s="68"/>
      <c r="E92" s="197"/>
      <c r="F92" s="68"/>
      <c r="G92" s="68"/>
      <c r="H92" s="68"/>
      <c r="I92" s="197"/>
      <c r="J92" s="197"/>
      <c r="K92" s="197"/>
      <c r="L92" s="282"/>
      <c r="M92" s="282"/>
      <c r="N92" s="282"/>
      <c r="O92" s="282"/>
      <c r="P92" s="282"/>
      <c r="Q92" s="117">
        <f t="shared" si="82"/>
        <v>0</v>
      </c>
      <c r="R92" s="117">
        <f t="shared" si="83"/>
        <v>0</v>
      </c>
      <c r="S92" s="282"/>
      <c r="T92" s="282"/>
      <c r="U92" s="282"/>
    </row>
    <row r="93" spans="1:21" ht="26.25" hidden="1" customHeight="1">
      <c r="A93" s="34"/>
      <c r="B93" s="35" t="s">
        <v>118</v>
      </c>
      <c r="C93" s="12" t="s">
        <v>119</v>
      </c>
      <c r="D93" s="68"/>
      <c r="E93" s="197"/>
      <c r="F93" s="68"/>
      <c r="G93" s="68"/>
      <c r="H93" s="68"/>
      <c r="I93" s="197"/>
      <c r="J93" s="197"/>
      <c r="K93" s="197"/>
      <c r="L93" s="282"/>
      <c r="M93" s="282"/>
      <c r="N93" s="282"/>
      <c r="O93" s="282"/>
      <c r="P93" s="282"/>
      <c r="Q93" s="117">
        <f t="shared" si="82"/>
        <v>0</v>
      </c>
      <c r="R93" s="117">
        <f t="shared" si="83"/>
        <v>0</v>
      </c>
      <c r="S93" s="282"/>
      <c r="T93" s="282"/>
      <c r="U93" s="282"/>
    </row>
    <row r="94" spans="1:21" ht="29.25" hidden="1" customHeight="1">
      <c r="A94" s="34"/>
      <c r="B94" s="36" t="s">
        <v>120</v>
      </c>
      <c r="C94" s="13" t="s">
        <v>121</v>
      </c>
      <c r="D94" s="68"/>
      <c r="E94" s="197"/>
      <c r="F94" s="68"/>
      <c r="G94" s="68"/>
      <c r="H94" s="68"/>
      <c r="I94" s="197"/>
      <c r="J94" s="197"/>
      <c r="K94" s="197"/>
      <c r="L94" s="282"/>
      <c r="M94" s="282"/>
      <c r="N94" s="282"/>
      <c r="O94" s="282"/>
      <c r="P94" s="282"/>
      <c r="Q94" s="117">
        <f t="shared" si="82"/>
        <v>0</v>
      </c>
      <c r="R94" s="117">
        <f t="shared" si="83"/>
        <v>0</v>
      </c>
      <c r="S94" s="282"/>
      <c r="T94" s="282"/>
      <c r="U94" s="282"/>
    </row>
    <row r="95" spans="1:21" ht="27" customHeight="1">
      <c r="A95" s="34"/>
      <c r="B95" s="158" t="s">
        <v>122</v>
      </c>
      <c r="C95" s="14" t="s">
        <v>123</v>
      </c>
      <c r="D95" s="68">
        <v>2145</v>
      </c>
      <c r="E95" s="197">
        <v>20801.919999999998</v>
      </c>
      <c r="F95" s="68">
        <v>26613.84</v>
      </c>
      <c r="G95" s="68">
        <v>16000</v>
      </c>
      <c r="H95" s="68">
        <v>26613.84</v>
      </c>
      <c r="I95" s="197">
        <v>13974</v>
      </c>
      <c r="J95" s="197">
        <f>13974+20000</f>
        <v>33974</v>
      </c>
      <c r="K95" s="197"/>
      <c r="L95" s="282">
        <v>33974</v>
      </c>
      <c r="M95" s="282">
        <v>13000</v>
      </c>
      <c r="N95" s="282">
        <v>7974</v>
      </c>
      <c r="O95" s="282">
        <v>7000</v>
      </c>
      <c r="P95" s="282">
        <v>6000</v>
      </c>
      <c r="Q95" s="117">
        <f t="shared" si="82"/>
        <v>33974</v>
      </c>
      <c r="R95" s="117">
        <f t="shared" si="83"/>
        <v>0</v>
      </c>
      <c r="S95" s="282">
        <v>61823</v>
      </c>
      <c r="T95" s="282">
        <v>0</v>
      </c>
      <c r="U95" s="282">
        <v>0</v>
      </c>
    </row>
    <row r="96" spans="1:21" ht="27.75" customHeight="1">
      <c r="A96" s="34"/>
      <c r="B96" s="35" t="s">
        <v>586</v>
      </c>
      <c r="C96" s="97" t="s">
        <v>488</v>
      </c>
      <c r="D96" s="69">
        <v>968</v>
      </c>
      <c r="E96" s="66">
        <f t="shared" ref="E96:F96" si="88">E282+E1116+E780+E286+E791+E796+E801+E806+E1122+E812+E818+E824+E830</f>
        <v>2525.35</v>
      </c>
      <c r="F96" s="66">
        <f t="shared" si="88"/>
        <v>8136</v>
      </c>
      <c r="G96" s="66">
        <f t="shared" ref="G96:H96" si="89">G282+G1116+G780+G286+G791+G796+G801+G806+G1122+G812+G818+G824+G830</f>
        <v>8130</v>
      </c>
      <c r="H96" s="66">
        <f t="shared" si="89"/>
        <v>8136</v>
      </c>
      <c r="I96" s="66">
        <f>I282+I1116+I780+I286+I791+I796+I801+I806+I1122+I812+I818+I824+I830+I1128</f>
        <v>16536.91</v>
      </c>
      <c r="J96" s="66">
        <f t="shared" ref="J96:U96" si="90">J282+J1116+J780+J286+J791+J796+J801+J806+J1122+J812+J818+J824+J830+J1128</f>
        <v>16539</v>
      </c>
      <c r="K96" s="66">
        <f>K282+K1116+K780+K286+K791+K796+K801+K806+K1122+K812+K818+K824+K830+K1128</f>
        <v>16113.91</v>
      </c>
      <c r="L96" s="288">
        <f t="shared" ref="L96:P96" si="91">L282+L1116+L780+L286+L791+L796+L801+L806+L1122+L812+L818+L824+L830+L1128</f>
        <v>14575</v>
      </c>
      <c r="M96" s="288">
        <f t="shared" si="91"/>
        <v>3650</v>
      </c>
      <c r="N96" s="288">
        <f t="shared" si="91"/>
        <v>3650</v>
      </c>
      <c r="O96" s="288">
        <f t="shared" si="91"/>
        <v>3650</v>
      </c>
      <c r="P96" s="288">
        <f t="shared" si="91"/>
        <v>3625</v>
      </c>
      <c r="Q96" s="117">
        <f t="shared" si="82"/>
        <v>14575</v>
      </c>
      <c r="R96" s="117">
        <f t="shared" si="83"/>
        <v>0</v>
      </c>
      <c r="S96" s="288">
        <f t="shared" si="90"/>
        <v>22410</v>
      </c>
      <c r="T96" s="288">
        <f t="shared" si="90"/>
        <v>10032</v>
      </c>
      <c r="U96" s="288">
        <f t="shared" si="90"/>
        <v>0</v>
      </c>
    </row>
    <row r="97" spans="1:21" ht="27" hidden="1" customHeight="1">
      <c r="A97" s="34"/>
      <c r="B97" s="35" t="s">
        <v>492</v>
      </c>
      <c r="C97" s="97" t="s">
        <v>493</v>
      </c>
      <c r="D97" s="66">
        <v>1</v>
      </c>
      <c r="E97" s="66">
        <v>0</v>
      </c>
      <c r="F97" s="66">
        <v>17</v>
      </c>
      <c r="G97" s="66">
        <v>0</v>
      </c>
      <c r="H97" s="66">
        <v>17</v>
      </c>
      <c r="I97" s="66">
        <v>0</v>
      </c>
      <c r="J97" s="66">
        <v>0</v>
      </c>
      <c r="K97" s="66">
        <v>0</v>
      </c>
      <c r="L97" s="288">
        <v>0</v>
      </c>
      <c r="M97" s="288">
        <v>0</v>
      </c>
      <c r="N97" s="288">
        <v>0</v>
      </c>
      <c r="O97" s="288">
        <v>0</v>
      </c>
      <c r="P97" s="288">
        <v>0</v>
      </c>
      <c r="Q97" s="117">
        <f t="shared" si="82"/>
        <v>0</v>
      </c>
      <c r="R97" s="117">
        <f t="shared" si="83"/>
        <v>0</v>
      </c>
      <c r="S97" s="288">
        <v>0</v>
      </c>
      <c r="T97" s="288">
        <v>0</v>
      </c>
      <c r="U97" s="288">
        <v>0</v>
      </c>
    </row>
    <row r="98" spans="1:21" ht="31.5" customHeight="1">
      <c r="A98" s="34"/>
      <c r="B98" s="20" t="s">
        <v>494</v>
      </c>
      <c r="C98" s="152" t="s">
        <v>495</v>
      </c>
      <c r="D98" s="79">
        <f t="shared" ref="D98:U98" si="92">D99</f>
        <v>2826</v>
      </c>
      <c r="E98" s="79">
        <f t="shared" si="92"/>
        <v>100.29</v>
      </c>
      <c r="F98" s="79">
        <f t="shared" si="92"/>
        <v>0</v>
      </c>
      <c r="G98" s="79">
        <f t="shared" si="92"/>
        <v>0</v>
      </c>
      <c r="H98" s="79">
        <f t="shared" si="92"/>
        <v>0</v>
      </c>
      <c r="I98" s="79">
        <f t="shared" si="92"/>
        <v>0</v>
      </c>
      <c r="J98" s="79">
        <f t="shared" si="92"/>
        <v>0</v>
      </c>
      <c r="K98" s="79">
        <f t="shared" si="92"/>
        <v>0</v>
      </c>
      <c r="L98" s="289">
        <f t="shared" si="92"/>
        <v>0</v>
      </c>
      <c r="M98" s="289">
        <f t="shared" si="92"/>
        <v>0</v>
      </c>
      <c r="N98" s="289">
        <f t="shared" si="92"/>
        <v>0</v>
      </c>
      <c r="O98" s="289">
        <f t="shared" si="92"/>
        <v>0</v>
      </c>
      <c r="P98" s="289">
        <f t="shared" si="92"/>
        <v>0</v>
      </c>
      <c r="Q98" s="117">
        <f t="shared" si="82"/>
        <v>0</v>
      </c>
      <c r="R98" s="117">
        <f t="shared" si="83"/>
        <v>0</v>
      </c>
      <c r="S98" s="289">
        <f t="shared" si="92"/>
        <v>0</v>
      </c>
      <c r="T98" s="289">
        <f t="shared" si="92"/>
        <v>0</v>
      </c>
      <c r="U98" s="289">
        <f t="shared" si="92"/>
        <v>0</v>
      </c>
    </row>
    <row r="99" spans="1:21" ht="44.25" hidden="1" customHeight="1">
      <c r="A99" s="34"/>
      <c r="B99" s="35" t="s">
        <v>555</v>
      </c>
      <c r="C99" s="97" t="s">
        <v>556</v>
      </c>
      <c r="D99" s="66">
        <v>2826</v>
      </c>
      <c r="E99" s="197">
        <v>100.29</v>
      </c>
      <c r="F99" s="66"/>
      <c r="G99" s="66"/>
      <c r="H99" s="66"/>
      <c r="I99" s="197"/>
      <c r="J99" s="197"/>
      <c r="K99" s="197"/>
      <c r="L99" s="282"/>
      <c r="M99" s="282"/>
      <c r="N99" s="282"/>
      <c r="O99" s="282"/>
      <c r="P99" s="282"/>
      <c r="Q99" s="117">
        <f t="shared" si="82"/>
        <v>0</v>
      </c>
      <c r="R99" s="117">
        <f t="shared" si="83"/>
        <v>0</v>
      </c>
      <c r="S99" s="282"/>
      <c r="T99" s="282"/>
      <c r="U99" s="282"/>
    </row>
    <row r="100" spans="1:21" ht="57" customHeight="1">
      <c r="A100" s="137" t="s">
        <v>124</v>
      </c>
      <c r="B100" s="138" t="s">
        <v>439</v>
      </c>
      <c r="C100" s="133">
        <v>48.02</v>
      </c>
      <c r="D100" s="65">
        <f t="shared" ref="D100:U100" si="93">D101+D105+D109</f>
        <v>722</v>
      </c>
      <c r="E100" s="172">
        <f t="shared" ref="E100:F100" si="94">E101+E105+E109</f>
        <v>16563.540000000005</v>
      </c>
      <c r="F100" s="172">
        <f t="shared" si="94"/>
        <v>50584</v>
      </c>
      <c r="G100" s="172">
        <f t="shared" si="93"/>
        <v>50572</v>
      </c>
      <c r="H100" s="172">
        <f t="shared" si="93"/>
        <v>50584</v>
      </c>
      <c r="I100" s="172">
        <f t="shared" si="93"/>
        <v>99823.859999999986</v>
      </c>
      <c r="J100" s="172">
        <f t="shared" si="93"/>
        <v>99825</v>
      </c>
      <c r="K100" s="172">
        <f t="shared" ref="K100:L100" si="95">K101+K105+K109</f>
        <v>97058.859999999986</v>
      </c>
      <c r="L100" s="117">
        <f t="shared" si="95"/>
        <v>86995</v>
      </c>
      <c r="M100" s="117">
        <f t="shared" ref="M100:P100" si="96">M101+M105+M109</f>
        <v>21751</v>
      </c>
      <c r="N100" s="117">
        <f t="shared" si="96"/>
        <v>21751</v>
      </c>
      <c r="O100" s="117">
        <f t="shared" si="96"/>
        <v>21751</v>
      </c>
      <c r="P100" s="117">
        <f t="shared" si="96"/>
        <v>21742</v>
      </c>
      <c r="Q100" s="117">
        <f t="shared" si="82"/>
        <v>86995</v>
      </c>
      <c r="R100" s="117">
        <f t="shared" si="83"/>
        <v>0</v>
      </c>
      <c r="S100" s="117">
        <f t="shared" si="93"/>
        <v>115830</v>
      </c>
      <c r="T100" s="117">
        <f t="shared" si="93"/>
        <v>58360</v>
      </c>
      <c r="U100" s="117">
        <f t="shared" si="93"/>
        <v>0</v>
      </c>
    </row>
    <row r="101" spans="1:21" ht="15.75" customHeight="1">
      <c r="A101" s="131"/>
      <c r="B101" s="139" t="s">
        <v>529</v>
      </c>
      <c r="C101" s="133" t="s">
        <v>443</v>
      </c>
      <c r="D101" s="65">
        <f t="shared" ref="D101:U101" si="97">D102+D103+D104</f>
        <v>370</v>
      </c>
      <c r="E101" s="117">
        <f t="shared" ref="E101:F101" si="98">E102+E103+E104</f>
        <v>15117.980000000003</v>
      </c>
      <c r="F101" s="117">
        <f t="shared" si="98"/>
        <v>48430</v>
      </c>
      <c r="G101" s="117">
        <f t="shared" si="97"/>
        <v>48418</v>
      </c>
      <c r="H101" s="117">
        <f t="shared" si="97"/>
        <v>48430</v>
      </c>
      <c r="I101" s="117">
        <f t="shared" si="97"/>
        <v>93093.859999999986</v>
      </c>
      <c r="J101" s="117">
        <f t="shared" si="97"/>
        <v>93095</v>
      </c>
      <c r="K101" s="117">
        <f t="shared" ref="K101:L101" si="99">K102+K103+K104</f>
        <v>93093.859999999986</v>
      </c>
      <c r="L101" s="117">
        <f t="shared" si="99"/>
        <v>83030</v>
      </c>
      <c r="M101" s="117">
        <f t="shared" ref="M101:P101" si="100">M102+M103+M104</f>
        <v>20759</v>
      </c>
      <c r="N101" s="117">
        <f t="shared" si="100"/>
        <v>20759</v>
      </c>
      <c r="O101" s="117">
        <f t="shared" si="100"/>
        <v>20759</v>
      </c>
      <c r="P101" s="117">
        <f t="shared" si="100"/>
        <v>20753</v>
      </c>
      <c r="Q101" s="117">
        <f t="shared" si="82"/>
        <v>83030</v>
      </c>
      <c r="R101" s="117">
        <f t="shared" si="83"/>
        <v>0</v>
      </c>
      <c r="S101" s="117">
        <f t="shared" si="97"/>
        <v>113031</v>
      </c>
      <c r="T101" s="117">
        <f t="shared" si="97"/>
        <v>55312</v>
      </c>
      <c r="U101" s="117">
        <f t="shared" si="97"/>
        <v>0</v>
      </c>
    </row>
    <row r="102" spans="1:21" ht="17.25" customHeight="1">
      <c r="A102" s="34"/>
      <c r="B102" s="21" t="s">
        <v>125</v>
      </c>
      <c r="C102" s="12" t="s">
        <v>440</v>
      </c>
      <c r="D102" s="69">
        <v>111</v>
      </c>
      <c r="E102" s="68">
        <f t="shared" ref="E102:F102" si="101">E283+E1117+E792+E797+E802+E807+E1123+E813+E819+E825+E831</f>
        <v>15117.980000000003</v>
      </c>
      <c r="F102" s="68">
        <f t="shared" si="101"/>
        <v>48430</v>
      </c>
      <c r="G102" s="68">
        <f>G283+G1117+G792+G797+G802+G807+G1123+G813</f>
        <v>48418</v>
      </c>
      <c r="H102" s="68">
        <f t="shared" ref="H102" si="102">H283+H1117+H792+H797+H802+H807+H1123+H813+H819+H825+H831</f>
        <v>48430</v>
      </c>
      <c r="I102" s="68">
        <f>I283+I1117+I792+I797+I802+I807+I1123+I819+I825+I831</f>
        <v>93093.859999999986</v>
      </c>
      <c r="J102" s="68">
        <f t="shared" ref="J102:U102" si="103">J283+J1117+J792+J797+J802+J807+J1123+J819+J825+J831</f>
        <v>93095</v>
      </c>
      <c r="K102" s="68">
        <f>K283+K1117+K792+K797+K802+K807+K1123+K819+K825+K831</f>
        <v>93093.859999999986</v>
      </c>
      <c r="L102" s="176">
        <f t="shared" ref="L102:M102" si="104">L283+L1117+L792+L797+L802+L807+L1123+L819+L825+L831</f>
        <v>83030</v>
      </c>
      <c r="M102" s="176">
        <f t="shared" si="104"/>
        <v>20759</v>
      </c>
      <c r="N102" s="176">
        <f t="shared" ref="N102:P102" si="105">N283+N1117+N792+N797+N802+N807+N1123+N819+N825+N831</f>
        <v>20759</v>
      </c>
      <c r="O102" s="176">
        <f t="shared" si="105"/>
        <v>20759</v>
      </c>
      <c r="P102" s="176">
        <f t="shared" si="105"/>
        <v>20753</v>
      </c>
      <c r="Q102" s="117">
        <f t="shared" si="82"/>
        <v>83030</v>
      </c>
      <c r="R102" s="117">
        <f t="shared" si="83"/>
        <v>0</v>
      </c>
      <c r="S102" s="176">
        <f t="shared" si="103"/>
        <v>113031</v>
      </c>
      <c r="T102" s="176">
        <f t="shared" si="103"/>
        <v>55312</v>
      </c>
      <c r="U102" s="176">
        <f t="shared" si="103"/>
        <v>0</v>
      </c>
    </row>
    <row r="103" spans="1:21" ht="17.25" customHeight="1">
      <c r="A103" s="34"/>
      <c r="B103" s="21" t="s">
        <v>126</v>
      </c>
      <c r="C103" s="12" t="s">
        <v>441</v>
      </c>
      <c r="D103" s="68">
        <v>259</v>
      </c>
      <c r="E103" s="197"/>
      <c r="F103" s="68"/>
      <c r="G103" s="68"/>
      <c r="H103" s="68"/>
      <c r="I103" s="197"/>
      <c r="J103" s="197"/>
      <c r="K103" s="197"/>
      <c r="L103" s="282"/>
      <c r="M103" s="282"/>
      <c r="N103" s="282"/>
      <c r="O103" s="282"/>
      <c r="P103" s="282"/>
      <c r="Q103" s="117">
        <f t="shared" si="82"/>
        <v>0</v>
      </c>
      <c r="R103" s="117">
        <f t="shared" si="83"/>
        <v>0</v>
      </c>
      <c r="S103" s="282"/>
      <c r="T103" s="282"/>
      <c r="U103" s="282"/>
    </row>
    <row r="104" spans="1:21" ht="17.25" customHeight="1">
      <c r="A104" s="34"/>
      <c r="B104" s="21" t="s">
        <v>127</v>
      </c>
      <c r="C104" s="12" t="s">
        <v>442</v>
      </c>
      <c r="D104" s="130"/>
      <c r="E104" s="197"/>
      <c r="F104" s="130"/>
      <c r="G104" s="130"/>
      <c r="H104" s="130"/>
      <c r="I104" s="197"/>
      <c r="J104" s="197"/>
      <c r="K104" s="197"/>
      <c r="L104" s="282"/>
      <c r="M104" s="282"/>
      <c r="N104" s="282"/>
      <c r="O104" s="282"/>
      <c r="P104" s="282"/>
      <c r="Q104" s="117">
        <f t="shared" si="82"/>
        <v>0</v>
      </c>
      <c r="R104" s="117">
        <f t="shared" si="83"/>
        <v>0</v>
      </c>
      <c r="S104" s="282"/>
      <c r="T104" s="282"/>
      <c r="U104" s="282"/>
    </row>
    <row r="105" spans="1:21" ht="17.25" customHeight="1">
      <c r="A105" s="131"/>
      <c r="B105" s="140" t="s">
        <v>530</v>
      </c>
      <c r="C105" s="141" t="s">
        <v>496</v>
      </c>
      <c r="D105" s="71">
        <f t="shared" ref="D105:U105" si="106">D106+D107+D108</f>
        <v>352</v>
      </c>
      <c r="E105" s="71">
        <f t="shared" ref="E105:F105" si="107">E106+E107+E108</f>
        <v>1406.56</v>
      </c>
      <c r="F105" s="71">
        <f t="shared" si="107"/>
        <v>2110</v>
      </c>
      <c r="G105" s="71">
        <f t="shared" si="106"/>
        <v>2110</v>
      </c>
      <c r="H105" s="71">
        <f t="shared" si="106"/>
        <v>2110</v>
      </c>
      <c r="I105" s="71">
        <f t="shared" si="106"/>
        <v>3965</v>
      </c>
      <c r="J105" s="71">
        <f t="shared" si="106"/>
        <v>3965</v>
      </c>
      <c r="K105" s="71">
        <f t="shared" ref="K105:L105" si="108">K106+K107+K108</f>
        <v>3965</v>
      </c>
      <c r="L105" s="286">
        <f t="shared" si="108"/>
        <v>3965</v>
      </c>
      <c r="M105" s="286">
        <f t="shared" ref="M105:P105" si="109">M106+M107+M108</f>
        <v>992</v>
      </c>
      <c r="N105" s="286">
        <f t="shared" si="109"/>
        <v>992</v>
      </c>
      <c r="O105" s="286">
        <f t="shared" si="109"/>
        <v>992</v>
      </c>
      <c r="P105" s="286">
        <f t="shared" si="109"/>
        <v>989</v>
      </c>
      <c r="Q105" s="117">
        <f t="shared" si="82"/>
        <v>3965</v>
      </c>
      <c r="R105" s="117">
        <f t="shared" si="83"/>
        <v>0</v>
      </c>
      <c r="S105" s="286">
        <f t="shared" si="106"/>
        <v>2799</v>
      </c>
      <c r="T105" s="286">
        <f t="shared" si="106"/>
        <v>3048</v>
      </c>
      <c r="U105" s="286">
        <f t="shared" si="106"/>
        <v>0</v>
      </c>
    </row>
    <row r="106" spans="1:21" ht="17.25" customHeight="1">
      <c r="A106" s="34"/>
      <c r="B106" s="21" t="s">
        <v>125</v>
      </c>
      <c r="C106" s="12" t="s">
        <v>497</v>
      </c>
      <c r="D106" s="68">
        <v>352</v>
      </c>
      <c r="E106" s="68">
        <f t="shared" ref="E106:F106" si="110">E781+E287</f>
        <v>1406.56</v>
      </c>
      <c r="F106" s="68">
        <f t="shared" si="110"/>
        <v>2110</v>
      </c>
      <c r="G106" s="68">
        <f t="shared" ref="G106:H106" si="111">G781+G287</f>
        <v>2110</v>
      </c>
      <c r="H106" s="68">
        <f t="shared" si="111"/>
        <v>2110</v>
      </c>
      <c r="I106" s="68">
        <f>I781+I287+I813</f>
        <v>3965</v>
      </c>
      <c r="J106" s="68">
        <f t="shared" ref="J106:U106" si="112">J781+J287+J813</f>
        <v>3965</v>
      </c>
      <c r="K106" s="68">
        <f>K781+K287+K813</f>
        <v>3965</v>
      </c>
      <c r="L106" s="176">
        <f t="shared" ref="L106:M106" si="113">L781+L287+L813</f>
        <v>3965</v>
      </c>
      <c r="M106" s="176">
        <f t="shared" si="113"/>
        <v>992</v>
      </c>
      <c r="N106" s="176">
        <f t="shared" ref="N106:P106" si="114">N781+N287+N813</f>
        <v>992</v>
      </c>
      <c r="O106" s="176">
        <f t="shared" si="114"/>
        <v>992</v>
      </c>
      <c r="P106" s="176">
        <f t="shared" si="114"/>
        <v>989</v>
      </c>
      <c r="Q106" s="117">
        <f t="shared" si="82"/>
        <v>3965</v>
      </c>
      <c r="R106" s="117">
        <f t="shared" si="83"/>
        <v>0</v>
      </c>
      <c r="S106" s="176">
        <f t="shared" si="112"/>
        <v>2799</v>
      </c>
      <c r="T106" s="176">
        <f t="shared" si="112"/>
        <v>3048</v>
      </c>
      <c r="U106" s="176">
        <f t="shared" si="112"/>
        <v>0</v>
      </c>
    </row>
    <row r="107" spans="1:21" ht="17.25" customHeight="1">
      <c r="A107" s="34"/>
      <c r="B107" s="21" t="s">
        <v>126</v>
      </c>
      <c r="C107" s="12" t="s">
        <v>498</v>
      </c>
      <c r="D107" s="123"/>
      <c r="E107" s="197"/>
      <c r="F107" s="123"/>
      <c r="G107" s="123"/>
      <c r="H107" s="123"/>
      <c r="I107" s="197"/>
      <c r="J107" s="197"/>
      <c r="K107" s="197"/>
      <c r="L107" s="282"/>
      <c r="M107" s="282"/>
      <c r="N107" s="282"/>
      <c r="O107" s="282"/>
      <c r="P107" s="282"/>
      <c r="Q107" s="117">
        <f t="shared" si="82"/>
        <v>0</v>
      </c>
      <c r="R107" s="117">
        <f t="shared" si="83"/>
        <v>0</v>
      </c>
      <c r="S107" s="282"/>
      <c r="T107" s="282"/>
      <c r="U107" s="282"/>
    </row>
    <row r="108" spans="1:21" ht="14.25" customHeight="1">
      <c r="A108" s="34"/>
      <c r="B108" s="21" t="s">
        <v>127</v>
      </c>
      <c r="C108" s="12" t="s">
        <v>499</v>
      </c>
      <c r="D108" s="68"/>
      <c r="E108" s="197"/>
      <c r="F108" s="68"/>
      <c r="G108" s="68"/>
      <c r="H108" s="68"/>
      <c r="I108" s="197"/>
      <c r="J108" s="197"/>
      <c r="K108" s="197"/>
      <c r="L108" s="282"/>
      <c r="M108" s="282"/>
      <c r="N108" s="282"/>
      <c r="O108" s="282"/>
      <c r="P108" s="282"/>
      <c r="Q108" s="117">
        <f t="shared" si="82"/>
        <v>0</v>
      </c>
      <c r="R108" s="117">
        <f t="shared" si="83"/>
        <v>0</v>
      </c>
      <c r="S108" s="282"/>
      <c r="T108" s="282"/>
      <c r="U108" s="282"/>
    </row>
    <row r="109" spans="1:21" ht="14.25" hidden="1" customHeight="1">
      <c r="A109" s="131"/>
      <c r="B109" s="182" t="s">
        <v>531</v>
      </c>
      <c r="C109" s="142" t="s">
        <v>500</v>
      </c>
      <c r="D109" s="71">
        <f t="shared" ref="D109:U109" si="115">D110+D111+D112</f>
        <v>0</v>
      </c>
      <c r="E109" s="71">
        <f t="shared" ref="E109:F109" si="116">E110+E111+E112</f>
        <v>39</v>
      </c>
      <c r="F109" s="71">
        <f t="shared" si="116"/>
        <v>44</v>
      </c>
      <c r="G109" s="71">
        <f t="shared" si="115"/>
        <v>44</v>
      </c>
      <c r="H109" s="71">
        <f t="shared" si="115"/>
        <v>44</v>
      </c>
      <c r="I109" s="71">
        <f t="shared" si="115"/>
        <v>2765</v>
      </c>
      <c r="J109" s="71">
        <f t="shared" si="115"/>
        <v>2765</v>
      </c>
      <c r="K109" s="71">
        <f t="shared" ref="K109:L109" si="117">K110+K111+K112</f>
        <v>0</v>
      </c>
      <c r="L109" s="286">
        <f t="shared" si="117"/>
        <v>0</v>
      </c>
      <c r="M109" s="286">
        <f t="shared" ref="M109:P109" si="118">M110+M111+M112</f>
        <v>0</v>
      </c>
      <c r="N109" s="286">
        <f t="shared" si="118"/>
        <v>0</v>
      </c>
      <c r="O109" s="286">
        <f t="shared" si="118"/>
        <v>0</v>
      </c>
      <c r="P109" s="286">
        <f t="shared" si="118"/>
        <v>0</v>
      </c>
      <c r="Q109" s="117">
        <f t="shared" si="82"/>
        <v>0</v>
      </c>
      <c r="R109" s="117">
        <f t="shared" si="83"/>
        <v>0</v>
      </c>
      <c r="S109" s="286">
        <f t="shared" si="115"/>
        <v>0</v>
      </c>
      <c r="T109" s="286">
        <f t="shared" si="115"/>
        <v>0</v>
      </c>
      <c r="U109" s="286">
        <f t="shared" si="115"/>
        <v>0</v>
      </c>
    </row>
    <row r="110" spans="1:21" ht="14.25" hidden="1" customHeight="1">
      <c r="A110" s="34"/>
      <c r="B110" s="21" t="s">
        <v>130</v>
      </c>
      <c r="C110" s="12" t="s">
        <v>501</v>
      </c>
      <c r="D110" s="68"/>
      <c r="E110" s="68">
        <f t="shared" ref="E110:F110" si="119">E787</f>
        <v>39</v>
      </c>
      <c r="F110" s="68">
        <f t="shared" si="119"/>
        <v>44</v>
      </c>
      <c r="G110" s="68">
        <f t="shared" ref="G110:H110" si="120">G787</f>
        <v>44</v>
      </c>
      <c r="H110" s="68">
        <f t="shared" si="120"/>
        <v>44</v>
      </c>
      <c r="I110" s="68">
        <f>I787+I1129</f>
        <v>2765</v>
      </c>
      <c r="J110" s="68">
        <f t="shared" ref="J110:U110" si="121">J787+J1129</f>
        <v>2765</v>
      </c>
      <c r="K110" s="68">
        <f>K787+K1129</f>
        <v>0</v>
      </c>
      <c r="L110" s="176">
        <f t="shared" ref="L110:M110" si="122">L787+L1129</f>
        <v>0</v>
      </c>
      <c r="M110" s="176">
        <f t="shared" si="122"/>
        <v>0</v>
      </c>
      <c r="N110" s="176">
        <f t="shared" ref="N110:P110" si="123">N787+N1129</f>
        <v>0</v>
      </c>
      <c r="O110" s="176">
        <f t="shared" si="123"/>
        <v>0</v>
      </c>
      <c r="P110" s="176">
        <f t="shared" si="123"/>
        <v>0</v>
      </c>
      <c r="Q110" s="117">
        <f t="shared" si="82"/>
        <v>0</v>
      </c>
      <c r="R110" s="117">
        <f t="shared" si="83"/>
        <v>0</v>
      </c>
      <c r="S110" s="176">
        <f t="shared" si="121"/>
        <v>0</v>
      </c>
      <c r="T110" s="176">
        <f t="shared" si="121"/>
        <v>0</v>
      </c>
      <c r="U110" s="176">
        <f t="shared" si="121"/>
        <v>0</v>
      </c>
    </row>
    <row r="111" spans="1:21" ht="14.25" hidden="1" customHeight="1">
      <c r="A111" s="34"/>
      <c r="B111" s="21" t="s">
        <v>126</v>
      </c>
      <c r="C111" s="12" t="s">
        <v>502</v>
      </c>
      <c r="D111" s="123"/>
      <c r="E111" s="197"/>
      <c r="F111" s="123"/>
      <c r="G111" s="123"/>
      <c r="H111" s="123"/>
      <c r="I111" s="197"/>
      <c r="J111" s="197"/>
      <c r="K111" s="197"/>
      <c r="L111" s="282"/>
      <c r="M111" s="282"/>
      <c r="N111" s="282"/>
      <c r="O111" s="282"/>
      <c r="P111" s="282"/>
      <c r="Q111" s="117">
        <f t="shared" si="82"/>
        <v>0</v>
      </c>
      <c r="R111" s="117">
        <f t="shared" si="83"/>
        <v>0</v>
      </c>
      <c r="S111" s="282"/>
      <c r="T111" s="282"/>
      <c r="U111" s="282"/>
    </row>
    <row r="112" spans="1:21" ht="14.25" hidden="1" customHeight="1">
      <c r="A112" s="34"/>
      <c r="B112" s="21" t="s">
        <v>127</v>
      </c>
      <c r="C112" s="12" t="s">
        <v>503</v>
      </c>
      <c r="D112" s="68"/>
      <c r="E112" s="197"/>
      <c r="F112" s="68"/>
      <c r="G112" s="68"/>
      <c r="H112" s="68"/>
      <c r="I112" s="197"/>
      <c r="J112" s="197"/>
      <c r="K112" s="197"/>
      <c r="L112" s="282"/>
      <c r="M112" s="282"/>
      <c r="N112" s="282"/>
      <c r="O112" s="282"/>
      <c r="P112" s="282"/>
      <c r="Q112" s="117">
        <f t="shared" si="82"/>
        <v>0</v>
      </c>
      <c r="R112" s="117">
        <f t="shared" si="83"/>
        <v>0</v>
      </c>
      <c r="S112" s="282"/>
      <c r="T112" s="282"/>
      <c r="U112" s="282"/>
    </row>
    <row r="113" spans="1:21" ht="14.25" hidden="1" customHeight="1">
      <c r="A113" s="34"/>
      <c r="B113" s="34" t="s">
        <v>129</v>
      </c>
      <c r="C113" s="12" t="s">
        <v>503</v>
      </c>
      <c r="D113" s="68">
        <v>0</v>
      </c>
      <c r="E113" s="68">
        <v>0</v>
      </c>
      <c r="F113" s="68">
        <v>0</v>
      </c>
      <c r="G113" s="68">
        <v>0</v>
      </c>
      <c r="H113" s="68">
        <v>0</v>
      </c>
      <c r="I113" s="68">
        <v>0</v>
      </c>
      <c r="J113" s="68">
        <v>0</v>
      </c>
      <c r="K113" s="68">
        <v>0</v>
      </c>
      <c r="L113" s="176">
        <v>0</v>
      </c>
      <c r="M113" s="176">
        <v>0</v>
      </c>
      <c r="N113" s="176">
        <v>0</v>
      </c>
      <c r="O113" s="176">
        <v>0</v>
      </c>
      <c r="P113" s="176">
        <v>0</v>
      </c>
      <c r="Q113" s="117">
        <f t="shared" si="82"/>
        <v>0</v>
      </c>
      <c r="R113" s="117">
        <f t="shared" si="83"/>
        <v>0</v>
      </c>
      <c r="S113" s="176">
        <v>0</v>
      </c>
      <c r="T113" s="176">
        <v>0</v>
      </c>
      <c r="U113" s="176">
        <v>0</v>
      </c>
    </row>
    <row r="114" spans="1:21" ht="14.25" hidden="1" customHeight="1">
      <c r="A114" s="34"/>
      <c r="B114" s="21" t="s">
        <v>130</v>
      </c>
      <c r="C114" s="12"/>
      <c r="D114" s="68"/>
      <c r="E114" s="197"/>
      <c r="F114" s="68"/>
      <c r="G114" s="68"/>
      <c r="H114" s="68"/>
      <c r="I114" s="197"/>
      <c r="J114" s="197"/>
      <c r="K114" s="197"/>
      <c r="L114" s="282"/>
      <c r="M114" s="282"/>
      <c r="N114" s="282"/>
      <c r="O114" s="282"/>
      <c r="P114" s="282"/>
      <c r="Q114" s="117">
        <f t="shared" si="82"/>
        <v>0</v>
      </c>
      <c r="R114" s="117">
        <f t="shared" si="83"/>
        <v>0</v>
      </c>
      <c r="S114" s="282"/>
      <c r="T114" s="282"/>
      <c r="U114" s="282"/>
    </row>
    <row r="115" spans="1:21" ht="14.25" hidden="1" customHeight="1">
      <c r="A115" s="34"/>
      <c r="B115" s="21" t="s">
        <v>126</v>
      </c>
      <c r="C115" s="12"/>
      <c r="D115" s="68"/>
      <c r="E115" s="197"/>
      <c r="F115" s="68"/>
      <c r="G115" s="68"/>
      <c r="H115" s="68"/>
      <c r="I115" s="197"/>
      <c r="J115" s="197"/>
      <c r="K115" s="197"/>
      <c r="L115" s="282"/>
      <c r="M115" s="282"/>
      <c r="N115" s="282"/>
      <c r="O115" s="282"/>
      <c r="P115" s="282"/>
      <c r="Q115" s="117">
        <f t="shared" si="82"/>
        <v>0</v>
      </c>
      <c r="R115" s="117">
        <f t="shared" si="83"/>
        <v>0</v>
      </c>
      <c r="S115" s="282"/>
      <c r="T115" s="282"/>
      <c r="U115" s="282"/>
    </row>
    <row r="116" spans="1:21" ht="14.25" hidden="1" customHeight="1">
      <c r="A116" s="34"/>
      <c r="B116" s="21" t="s">
        <v>127</v>
      </c>
      <c r="C116" s="12"/>
      <c r="D116" s="68"/>
      <c r="E116" s="197"/>
      <c r="F116" s="68"/>
      <c r="G116" s="68"/>
      <c r="H116" s="68"/>
      <c r="I116" s="197"/>
      <c r="J116" s="197"/>
      <c r="K116" s="197"/>
      <c r="L116" s="282"/>
      <c r="M116" s="282"/>
      <c r="N116" s="282"/>
      <c r="O116" s="282"/>
      <c r="P116" s="282"/>
      <c r="Q116" s="117">
        <f t="shared" si="82"/>
        <v>0</v>
      </c>
      <c r="R116" s="117">
        <f t="shared" si="83"/>
        <v>0</v>
      </c>
      <c r="S116" s="282"/>
      <c r="T116" s="282"/>
      <c r="U116" s="282"/>
    </row>
    <row r="117" spans="1:21" ht="14.25" hidden="1" customHeight="1">
      <c r="A117" s="34"/>
      <c r="B117" s="34" t="s">
        <v>131</v>
      </c>
      <c r="C117" s="12" t="s">
        <v>132</v>
      </c>
      <c r="D117" s="71">
        <f t="shared" ref="D117:U117" si="124">D118+D119+D120</f>
        <v>0</v>
      </c>
      <c r="E117" s="71">
        <f t="shared" ref="E117:F117" si="125">E118+E119+E120</f>
        <v>0</v>
      </c>
      <c r="F117" s="71">
        <f t="shared" si="125"/>
        <v>0</v>
      </c>
      <c r="G117" s="71">
        <f t="shared" si="124"/>
        <v>0</v>
      </c>
      <c r="H117" s="71">
        <f t="shared" si="124"/>
        <v>0</v>
      </c>
      <c r="I117" s="71">
        <f t="shared" si="124"/>
        <v>0</v>
      </c>
      <c r="J117" s="71">
        <f t="shared" si="124"/>
        <v>0</v>
      </c>
      <c r="K117" s="71">
        <f t="shared" ref="K117:L117" si="126">K118+K119+K120</f>
        <v>0</v>
      </c>
      <c r="L117" s="286">
        <f t="shared" si="126"/>
        <v>0</v>
      </c>
      <c r="M117" s="286">
        <f t="shared" ref="M117:P117" si="127">M118+M119+M120</f>
        <v>0</v>
      </c>
      <c r="N117" s="286">
        <f t="shared" si="127"/>
        <v>0</v>
      </c>
      <c r="O117" s="286">
        <f t="shared" si="127"/>
        <v>0</v>
      </c>
      <c r="P117" s="286">
        <f t="shared" si="127"/>
        <v>0</v>
      </c>
      <c r="Q117" s="117">
        <f t="shared" si="82"/>
        <v>0</v>
      </c>
      <c r="R117" s="117">
        <f t="shared" si="83"/>
        <v>0</v>
      </c>
      <c r="S117" s="286">
        <f t="shared" si="124"/>
        <v>0</v>
      </c>
      <c r="T117" s="286">
        <f t="shared" si="124"/>
        <v>0</v>
      </c>
      <c r="U117" s="286">
        <f t="shared" si="124"/>
        <v>0</v>
      </c>
    </row>
    <row r="118" spans="1:21" ht="14.25" hidden="1" customHeight="1">
      <c r="A118" s="34"/>
      <c r="B118" s="21" t="s">
        <v>130</v>
      </c>
      <c r="C118" s="12"/>
      <c r="D118" s="68"/>
      <c r="E118" s="197"/>
      <c r="F118" s="68"/>
      <c r="G118" s="68"/>
      <c r="H118" s="68"/>
      <c r="I118" s="197"/>
      <c r="J118" s="197"/>
      <c r="K118" s="197"/>
      <c r="L118" s="282"/>
      <c r="M118" s="282"/>
      <c r="N118" s="282"/>
      <c r="O118" s="282"/>
      <c r="P118" s="282"/>
      <c r="Q118" s="117">
        <f t="shared" si="82"/>
        <v>0</v>
      </c>
      <c r="R118" s="117">
        <f t="shared" si="83"/>
        <v>0</v>
      </c>
      <c r="S118" s="282"/>
      <c r="T118" s="282"/>
      <c r="U118" s="282"/>
    </row>
    <row r="119" spans="1:21" ht="14.25" hidden="1" customHeight="1">
      <c r="A119" s="34"/>
      <c r="B119" s="21" t="s">
        <v>126</v>
      </c>
      <c r="C119" s="12"/>
      <c r="D119" s="68"/>
      <c r="E119" s="197"/>
      <c r="F119" s="68"/>
      <c r="G119" s="68"/>
      <c r="H119" s="68"/>
      <c r="I119" s="197"/>
      <c r="J119" s="197"/>
      <c r="K119" s="197"/>
      <c r="L119" s="282"/>
      <c r="M119" s="282"/>
      <c r="N119" s="282"/>
      <c r="O119" s="282"/>
      <c r="P119" s="282"/>
      <c r="Q119" s="117">
        <f t="shared" si="82"/>
        <v>0</v>
      </c>
      <c r="R119" s="117">
        <f t="shared" si="83"/>
        <v>0</v>
      </c>
      <c r="S119" s="282"/>
      <c r="T119" s="282"/>
      <c r="U119" s="282"/>
    </row>
    <row r="120" spans="1:21" ht="14.25" hidden="1" customHeight="1">
      <c r="A120" s="34"/>
      <c r="B120" s="21" t="s">
        <v>127</v>
      </c>
      <c r="C120" s="12"/>
      <c r="D120" s="68"/>
      <c r="E120" s="197"/>
      <c r="F120" s="68"/>
      <c r="G120" s="68"/>
      <c r="H120" s="68"/>
      <c r="I120" s="197"/>
      <c r="J120" s="197"/>
      <c r="K120" s="197"/>
      <c r="L120" s="282"/>
      <c r="M120" s="282"/>
      <c r="N120" s="282"/>
      <c r="O120" s="282"/>
      <c r="P120" s="282"/>
      <c r="Q120" s="117">
        <f t="shared" si="82"/>
        <v>0</v>
      </c>
      <c r="R120" s="117">
        <f t="shared" si="83"/>
        <v>0</v>
      </c>
      <c r="S120" s="282"/>
      <c r="T120" s="282"/>
      <c r="U120" s="282"/>
    </row>
    <row r="121" spans="1:21" ht="14.25" customHeight="1">
      <c r="A121" s="64"/>
      <c r="B121" s="103" t="s">
        <v>133</v>
      </c>
      <c r="C121" s="106"/>
      <c r="D121" s="105">
        <f t="shared" ref="D121:U121" si="128">D122+D124+D127+D142+D171</f>
        <v>311109.71000000002</v>
      </c>
      <c r="E121" s="179">
        <f t="shared" ref="E121:F121" si="129">E122+E124+E127+E142+E171</f>
        <v>276854.60000000003</v>
      </c>
      <c r="F121" s="179">
        <f t="shared" si="129"/>
        <v>288333.5</v>
      </c>
      <c r="G121" s="179">
        <f t="shared" si="128"/>
        <v>253707</v>
      </c>
      <c r="H121" s="179">
        <f t="shared" si="128"/>
        <v>288333.5</v>
      </c>
      <c r="I121" s="179">
        <f t="shared" si="128"/>
        <v>374486.3142857143</v>
      </c>
      <c r="J121" s="179">
        <f t="shared" si="128"/>
        <v>324131</v>
      </c>
      <c r="K121" s="179">
        <f t="shared" ref="K121:L121" si="130">K122+K124+K127+K142+K171</f>
        <v>19109.599999999999</v>
      </c>
      <c r="L121" s="290">
        <f t="shared" si="130"/>
        <v>273600</v>
      </c>
      <c r="M121" s="290">
        <f t="shared" ref="M121:P121" si="131">M122+M124+M127+M142+M171</f>
        <v>70314</v>
      </c>
      <c r="N121" s="290">
        <f t="shared" si="131"/>
        <v>73881</v>
      </c>
      <c r="O121" s="290">
        <f t="shared" si="131"/>
        <v>74261</v>
      </c>
      <c r="P121" s="290">
        <f t="shared" si="131"/>
        <v>55144</v>
      </c>
      <c r="Q121" s="117">
        <f t="shared" si="82"/>
        <v>273600</v>
      </c>
      <c r="R121" s="117">
        <f t="shared" si="83"/>
        <v>0</v>
      </c>
      <c r="S121" s="290">
        <f t="shared" si="128"/>
        <v>279738</v>
      </c>
      <c r="T121" s="290">
        <f t="shared" si="128"/>
        <v>280579</v>
      </c>
      <c r="U121" s="290">
        <f t="shared" si="128"/>
        <v>282878</v>
      </c>
    </row>
    <row r="122" spans="1:21" ht="15.75" customHeight="1">
      <c r="A122" s="19" t="s">
        <v>7</v>
      </c>
      <c r="B122" s="24" t="s">
        <v>8</v>
      </c>
      <c r="C122" s="82">
        <v>1.02</v>
      </c>
      <c r="D122" s="65">
        <f t="shared" ref="D122:U122" si="132">D123</f>
        <v>107.65</v>
      </c>
      <c r="E122" s="172">
        <f t="shared" si="132"/>
        <v>332</v>
      </c>
      <c r="F122" s="172">
        <f t="shared" si="132"/>
        <v>300</v>
      </c>
      <c r="G122" s="172">
        <f t="shared" si="132"/>
        <v>300</v>
      </c>
      <c r="H122" s="172">
        <f t="shared" si="132"/>
        <v>300</v>
      </c>
      <c r="I122" s="172">
        <f t="shared" si="132"/>
        <v>400</v>
      </c>
      <c r="J122" s="172">
        <f t="shared" si="132"/>
        <v>400</v>
      </c>
      <c r="K122" s="172">
        <f t="shared" si="132"/>
        <v>0</v>
      </c>
      <c r="L122" s="117">
        <f t="shared" si="132"/>
        <v>400</v>
      </c>
      <c r="M122" s="117">
        <f t="shared" si="132"/>
        <v>0</v>
      </c>
      <c r="N122" s="117">
        <f t="shared" si="132"/>
        <v>200</v>
      </c>
      <c r="O122" s="117">
        <f t="shared" si="132"/>
        <v>200</v>
      </c>
      <c r="P122" s="117">
        <f t="shared" si="132"/>
        <v>0</v>
      </c>
      <c r="Q122" s="117">
        <f t="shared" si="82"/>
        <v>400</v>
      </c>
      <c r="R122" s="117">
        <f t="shared" si="83"/>
        <v>0</v>
      </c>
      <c r="S122" s="117">
        <f t="shared" si="132"/>
        <v>420</v>
      </c>
      <c r="T122" s="117">
        <f t="shared" si="132"/>
        <v>445</v>
      </c>
      <c r="U122" s="117">
        <f t="shared" si="132"/>
        <v>470</v>
      </c>
    </row>
    <row r="123" spans="1:21" ht="16.5" customHeight="1">
      <c r="A123" s="19"/>
      <c r="B123" s="25" t="s">
        <v>9</v>
      </c>
      <c r="C123" s="83" t="s">
        <v>10</v>
      </c>
      <c r="D123" s="68">
        <f t="shared" ref="D123:U123" si="133">D13</f>
        <v>107.65</v>
      </c>
      <c r="E123" s="174">
        <f t="shared" ref="E123:F123" si="134">E13</f>
        <v>332</v>
      </c>
      <c r="F123" s="174">
        <f t="shared" si="134"/>
        <v>300</v>
      </c>
      <c r="G123" s="174">
        <f t="shared" si="133"/>
        <v>300</v>
      </c>
      <c r="H123" s="174">
        <f t="shared" si="133"/>
        <v>300</v>
      </c>
      <c r="I123" s="174">
        <f t="shared" si="133"/>
        <v>400</v>
      </c>
      <c r="J123" s="174">
        <f t="shared" si="133"/>
        <v>400</v>
      </c>
      <c r="K123" s="174">
        <f t="shared" ref="K123:L123" si="135">K13</f>
        <v>0</v>
      </c>
      <c r="L123" s="176">
        <f t="shared" si="135"/>
        <v>400</v>
      </c>
      <c r="M123" s="176">
        <f t="shared" ref="M123:P123" si="136">M13</f>
        <v>0</v>
      </c>
      <c r="N123" s="176">
        <f t="shared" si="136"/>
        <v>200</v>
      </c>
      <c r="O123" s="176">
        <f t="shared" si="136"/>
        <v>200</v>
      </c>
      <c r="P123" s="176">
        <f t="shared" si="136"/>
        <v>0</v>
      </c>
      <c r="Q123" s="117">
        <f t="shared" si="82"/>
        <v>400</v>
      </c>
      <c r="R123" s="117">
        <f t="shared" si="83"/>
        <v>0</v>
      </c>
      <c r="S123" s="176">
        <f t="shared" si="133"/>
        <v>420</v>
      </c>
      <c r="T123" s="176">
        <f t="shared" si="133"/>
        <v>445</v>
      </c>
      <c r="U123" s="176">
        <f t="shared" si="133"/>
        <v>470</v>
      </c>
    </row>
    <row r="124" spans="1:21" ht="16.5" customHeight="1">
      <c r="A124" s="19" t="s">
        <v>11</v>
      </c>
      <c r="B124" s="26" t="s">
        <v>12</v>
      </c>
      <c r="C124" s="84">
        <v>4.0199999999999996</v>
      </c>
      <c r="D124" s="67">
        <f t="shared" ref="D124:U124" si="137">D125+D126</f>
        <v>159549.5</v>
      </c>
      <c r="E124" s="173">
        <f t="shared" ref="E124:F124" si="138">E125+E126</f>
        <v>112225.72</v>
      </c>
      <c r="F124" s="173">
        <f t="shared" si="138"/>
        <v>128113</v>
      </c>
      <c r="G124" s="173">
        <f t="shared" si="137"/>
        <v>124730</v>
      </c>
      <c r="H124" s="173">
        <f t="shared" si="137"/>
        <v>128113</v>
      </c>
      <c r="I124" s="173">
        <f t="shared" si="137"/>
        <v>128374.71428571428</v>
      </c>
      <c r="J124" s="173">
        <f t="shared" si="137"/>
        <v>128375</v>
      </c>
      <c r="K124" s="173">
        <f t="shared" ref="K124:L124" si="139">K125+K126</f>
        <v>0</v>
      </c>
      <c r="L124" s="175">
        <f t="shared" si="139"/>
        <v>126006</v>
      </c>
      <c r="M124" s="175">
        <f t="shared" ref="M124:P124" si="140">M125+M126</f>
        <v>27500</v>
      </c>
      <c r="N124" s="175">
        <f t="shared" si="140"/>
        <v>39000</v>
      </c>
      <c r="O124" s="175">
        <f t="shared" si="140"/>
        <v>37000</v>
      </c>
      <c r="P124" s="175">
        <f t="shared" si="140"/>
        <v>22506</v>
      </c>
      <c r="Q124" s="117">
        <f t="shared" si="82"/>
        <v>126006</v>
      </c>
      <c r="R124" s="117">
        <f t="shared" si="83"/>
        <v>0</v>
      </c>
      <c r="S124" s="175">
        <f t="shared" si="137"/>
        <v>144606</v>
      </c>
      <c r="T124" s="175">
        <f t="shared" si="137"/>
        <v>152118</v>
      </c>
      <c r="U124" s="175">
        <f t="shared" si="137"/>
        <v>159630</v>
      </c>
    </row>
    <row r="125" spans="1:21" ht="18" customHeight="1">
      <c r="A125" s="19"/>
      <c r="B125" s="33" t="s">
        <v>134</v>
      </c>
      <c r="C125" s="12" t="s">
        <v>13</v>
      </c>
      <c r="D125" s="68">
        <f t="shared" ref="D125:U126" si="141">D16</f>
        <v>97121</v>
      </c>
      <c r="E125" s="174">
        <f t="shared" ref="E125:F125" si="142">E16</f>
        <v>98321</v>
      </c>
      <c r="F125" s="174">
        <f t="shared" si="142"/>
        <v>112380</v>
      </c>
      <c r="G125" s="174">
        <f t="shared" si="141"/>
        <v>108461</v>
      </c>
      <c r="H125" s="174">
        <f t="shared" si="141"/>
        <v>112380</v>
      </c>
      <c r="I125" s="174">
        <f t="shared" si="141"/>
        <v>102535.71428571428</v>
      </c>
      <c r="J125" s="174">
        <f t="shared" si="141"/>
        <v>102536</v>
      </c>
      <c r="K125" s="174">
        <f t="shared" ref="K125:L125" si="143">K16</f>
        <v>0</v>
      </c>
      <c r="L125" s="176">
        <f t="shared" si="143"/>
        <v>110532</v>
      </c>
      <c r="M125" s="176">
        <f t="shared" ref="M125:P125" si="144">M16</f>
        <v>27500</v>
      </c>
      <c r="N125" s="176">
        <f t="shared" si="144"/>
        <v>32000</v>
      </c>
      <c r="O125" s="176">
        <f t="shared" si="144"/>
        <v>32000</v>
      </c>
      <c r="P125" s="176">
        <f t="shared" si="144"/>
        <v>19032</v>
      </c>
      <c r="Q125" s="117">
        <f t="shared" si="82"/>
        <v>110532</v>
      </c>
      <c r="R125" s="117">
        <f t="shared" si="83"/>
        <v>0</v>
      </c>
      <c r="S125" s="176">
        <f t="shared" si="141"/>
        <v>115500</v>
      </c>
      <c r="T125" s="176">
        <f t="shared" si="141"/>
        <v>121500</v>
      </c>
      <c r="U125" s="176">
        <f t="shared" si="141"/>
        <v>127500</v>
      </c>
    </row>
    <row r="126" spans="1:21" ht="15.75" customHeight="1">
      <c r="A126" s="19"/>
      <c r="B126" s="33" t="s">
        <v>135</v>
      </c>
      <c r="C126" s="12" t="s">
        <v>14</v>
      </c>
      <c r="D126" s="68">
        <f t="shared" si="141"/>
        <v>62428.5</v>
      </c>
      <c r="E126" s="174">
        <f t="shared" ref="E126:F126" si="145">E17</f>
        <v>13904.72</v>
      </c>
      <c r="F126" s="174">
        <f t="shared" si="145"/>
        <v>15733</v>
      </c>
      <c r="G126" s="174">
        <f t="shared" si="141"/>
        <v>16269</v>
      </c>
      <c r="H126" s="174">
        <f t="shared" si="141"/>
        <v>15733</v>
      </c>
      <c r="I126" s="174">
        <f t="shared" si="141"/>
        <v>25839</v>
      </c>
      <c r="J126" s="174">
        <f t="shared" si="141"/>
        <v>25839</v>
      </c>
      <c r="K126" s="174">
        <f t="shared" ref="K126:L126" si="146">K17</f>
        <v>0</v>
      </c>
      <c r="L126" s="176">
        <f t="shared" si="146"/>
        <v>15474</v>
      </c>
      <c r="M126" s="176">
        <f t="shared" ref="M126:P126" si="147">M17</f>
        <v>0</v>
      </c>
      <c r="N126" s="176">
        <f t="shared" si="147"/>
        <v>7000</v>
      </c>
      <c r="O126" s="176">
        <f t="shared" si="147"/>
        <v>5000</v>
      </c>
      <c r="P126" s="176">
        <f t="shared" si="147"/>
        <v>3474</v>
      </c>
      <c r="Q126" s="117">
        <f t="shared" si="82"/>
        <v>15474</v>
      </c>
      <c r="R126" s="117">
        <f t="shared" si="83"/>
        <v>0</v>
      </c>
      <c r="S126" s="176">
        <f t="shared" si="141"/>
        <v>29106</v>
      </c>
      <c r="T126" s="176">
        <f t="shared" si="141"/>
        <v>30618</v>
      </c>
      <c r="U126" s="176">
        <f t="shared" si="141"/>
        <v>32130</v>
      </c>
    </row>
    <row r="127" spans="1:21" ht="18" customHeight="1">
      <c r="A127" s="19" t="s">
        <v>15</v>
      </c>
      <c r="B127" s="26" t="s">
        <v>16</v>
      </c>
      <c r="C127" s="12" t="s">
        <v>17</v>
      </c>
      <c r="D127" s="67">
        <f t="shared" ref="D127:U127" si="148">D128+D140+D141</f>
        <v>135935</v>
      </c>
      <c r="E127" s="173">
        <f t="shared" ref="E127:F127" si="149">E128+E140+E141</f>
        <v>147465.04</v>
      </c>
      <c r="F127" s="173">
        <f t="shared" si="149"/>
        <v>149953</v>
      </c>
      <c r="G127" s="173">
        <f t="shared" si="148"/>
        <v>112486</v>
      </c>
      <c r="H127" s="173">
        <f t="shared" si="148"/>
        <v>149953</v>
      </c>
      <c r="I127" s="173">
        <f t="shared" si="148"/>
        <v>230464.6</v>
      </c>
      <c r="J127" s="173">
        <f t="shared" si="148"/>
        <v>230465</v>
      </c>
      <c r="K127" s="173">
        <f t="shared" ref="K127:L127" si="150">K128+K140+K141</f>
        <v>17109.599999999999</v>
      </c>
      <c r="L127" s="175">
        <f t="shared" si="150"/>
        <v>134460</v>
      </c>
      <c r="M127" s="175">
        <f t="shared" ref="M127:P127" si="151">M128+M140+M141</f>
        <v>39440</v>
      </c>
      <c r="N127" s="175">
        <f t="shared" si="151"/>
        <v>29710</v>
      </c>
      <c r="O127" s="175">
        <f t="shared" si="151"/>
        <v>34000</v>
      </c>
      <c r="P127" s="175">
        <f t="shared" si="151"/>
        <v>31310</v>
      </c>
      <c r="Q127" s="117">
        <f t="shared" si="82"/>
        <v>134460</v>
      </c>
      <c r="R127" s="117">
        <f t="shared" si="83"/>
        <v>0</v>
      </c>
      <c r="S127" s="175">
        <f t="shared" si="148"/>
        <v>136995</v>
      </c>
      <c r="T127" s="175">
        <f t="shared" si="148"/>
        <v>130257</v>
      </c>
      <c r="U127" s="175">
        <f t="shared" si="148"/>
        <v>123518</v>
      </c>
    </row>
    <row r="128" spans="1:21" ht="18" customHeight="1">
      <c r="A128" s="34">
        <v>1</v>
      </c>
      <c r="B128" s="26" t="s">
        <v>136</v>
      </c>
      <c r="C128" s="12" t="s">
        <v>18</v>
      </c>
      <c r="D128" s="65">
        <f t="shared" ref="D128:U128" si="152">D129+D130+D132+D133+D134+D135+D138+D139+D131</f>
        <v>26708</v>
      </c>
      <c r="E128" s="172">
        <f t="shared" ref="E128:F128" si="153">E129+E130+E132+E133+E134+E135+E138+E139+E131</f>
        <v>69223.040000000008</v>
      </c>
      <c r="F128" s="172">
        <f t="shared" si="153"/>
        <v>71711</v>
      </c>
      <c r="G128" s="172">
        <f t="shared" si="152"/>
        <v>49480</v>
      </c>
      <c r="H128" s="172">
        <f t="shared" si="152"/>
        <v>71711</v>
      </c>
      <c r="I128" s="172">
        <f t="shared" si="152"/>
        <v>142769.60000000001</v>
      </c>
      <c r="J128" s="172">
        <f t="shared" si="152"/>
        <v>142770</v>
      </c>
      <c r="K128" s="172">
        <f t="shared" ref="K128:L128" si="154">K129+K130+K132+K133+K134+K135+K138+K139+K131</f>
        <v>17109.599999999999</v>
      </c>
      <c r="L128" s="117">
        <f t="shared" si="154"/>
        <v>84359</v>
      </c>
      <c r="M128" s="117">
        <f t="shared" ref="M128:P128" si="155">M129+M130+M132+M133+M134+M135+M138+M139+M131</f>
        <v>27000</v>
      </c>
      <c r="N128" s="117">
        <f t="shared" si="155"/>
        <v>14500</v>
      </c>
      <c r="O128" s="117">
        <f t="shared" si="155"/>
        <v>20500</v>
      </c>
      <c r="P128" s="117">
        <f t="shared" si="155"/>
        <v>22359</v>
      </c>
      <c r="Q128" s="117">
        <f t="shared" si="82"/>
        <v>84359</v>
      </c>
      <c r="R128" s="117">
        <f t="shared" si="83"/>
        <v>0</v>
      </c>
      <c r="S128" s="117">
        <f t="shared" si="152"/>
        <v>87081</v>
      </c>
      <c r="T128" s="117">
        <f t="shared" si="152"/>
        <v>87146</v>
      </c>
      <c r="U128" s="117">
        <f t="shared" si="152"/>
        <v>87210</v>
      </c>
    </row>
    <row r="129" spans="1:21" ht="16.5" customHeight="1">
      <c r="A129" s="34"/>
      <c r="B129" s="33" t="s">
        <v>19</v>
      </c>
      <c r="C129" s="12" t="s">
        <v>18</v>
      </c>
      <c r="D129" s="68">
        <f t="shared" ref="D129:U134" si="156">D20</f>
        <v>0</v>
      </c>
      <c r="E129" s="68">
        <f t="shared" ref="E129:F129" si="157">E20</f>
        <v>29453</v>
      </c>
      <c r="F129" s="68">
        <f t="shared" si="157"/>
        <v>29453</v>
      </c>
      <c r="G129" s="68">
        <f t="shared" si="156"/>
        <v>12503</v>
      </c>
      <c r="H129" s="68">
        <f t="shared" si="156"/>
        <v>29453</v>
      </c>
      <c r="I129" s="68">
        <f t="shared" si="156"/>
        <v>73000</v>
      </c>
      <c r="J129" s="68">
        <f t="shared" si="156"/>
        <v>73000</v>
      </c>
      <c r="K129" s="68">
        <f t="shared" ref="K129:L129" si="158">K20</f>
        <v>0</v>
      </c>
      <c r="L129" s="176">
        <f t="shared" si="158"/>
        <v>32094</v>
      </c>
      <c r="M129" s="176">
        <f t="shared" ref="M129:P129" si="159">M20</f>
        <v>15240</v>
      </c>
      <c r="N129" s="176">
        <f t="shared" si="159"/>
        <v>4000</v>
      </c>
      <c r="O129" s="176">
        <f t="shared" si="159"/>
        <v>7480</v>
      </c>
      <c r="P129" s="176">
        <f t="shared" si="159"/>
        <v>5374</v>
      </c>
      <c r="Q129" s="117">
        <f t="shared" si="82"/>
        <v>32094</v>
      </c>
      <c r="R129" s="117">
        <f t="shared" si="83"/>
        <v>0</v>
      </c>
      <c r="S129" s="176">
        <f t="shared" si="156"/>
        <v>32094</v>
      </c>
      <c r="T129" s="176">
        <f t="shared" si="156"/>
        <v>32094</v>
      </c>
      <c r="U129" s="176">
        <f t="shared" si="156"/>
        <v>32094</v>
      </c>
    </row>
    <row r="130" spans="1:21" ht="12.75" customHeight="1">
      <c r="A130" s="34"/>
      <c r="B130" s="33" t="s">
        <v>454</v>
      </c>
      <c r="C130" s="12" t="s">
        <v>18</v>
      </c>
      <c r="D130" s="68">
        <f t="shared" si="156"/>
        <v>0</v>
      </c>
      <c r="E130" s="68">
        <f t="shared" ref="E130:F130" si="160">E21</f>
        <v>19140</v>
      </c>
      <c r="F130" s="68">
        <f t="shared" si="160"/>
        <v>19140</v>
      </c>
      <c r="G130" s="68">
        <f t="shared" si="156"/>
        <v>8506</v>
      </c>
      <c r="H130" s="68">
        <f t="shared" si="156"/>
        <v>19140</v>
      </c>
      <c r="I130" s="68">
        <f t="shared" si="156"/>
        <v>39000</v>
      </c>
      <c r="J130" s="68">
        <f t="shared" si="156"/>
        <v>39000</v>
      </c>
      <c r="K130" s="68">
        <f t="shared" ref="K130:L130" si="161">K21</f>
        <v>0</v>
      </c>
      <c r="L130" s="176">
        <f t="shared" si="161"/>
        <v>22836</v>
      </c>
      <c r="M130" s="176">
        <f t="shared" ref="M130:P130" si="162">M21</f>
        <v>8080</v>
      </c>
      <c r="N130" s="176">
        <f t="shared" si="162"/>
        <v>4120</v>
      </c>
      <c r="O130" s="176">
        <f t="shared" si="162"/>
        <v>6670</v>
      </c>
      <c r="P130" s="176">
        <f t="shared" si="162"/>
        <v>3966</v>
      </c>
      <c r="Q130" s="117">
        <f t="shared" si="82"/>
        <v>22836</v>
      </c>
      <c r="R130" s="117">
        <f t="shared" si="83"/>
        <v>0</v>
      </c>
      <c r="S130" s="176">
        <f t="shared" si="156"/>
        <v>22836</v>
      </c>
      <c r="T130" s="176">
        <f t="shared" si="156"/>
        <v>22836</v>
      </c>
      <c r="U130" s="176">
        <f t="shared" si="156"/>
        <v>22836</v>
      </c>
    </row>
    <row r="131" spans="1:21" ht="12.75" customHeight="1">
      <c r="A131" s="34"/>
      <c r="B131" s="33" t="s">
        <v>20</v>
      </c>
      <c r="C131" s="12" t="s">
        <v>18</v>
      </c>
      <c r="D131" s="68">
        <f t="shared" si="156"/>
        <v>71</v>
      </c>
      <c r="E131" s="68">
        <f t="shared" ref="E131:F131" si="163">E22</f>
        <v>71</v>
      </c>
      <c r="F131" s="68">
        <f t="shared" si="163"/>
        <v>71</v>
      </c>
      <c r="G131" s="68">
        <f t="shared" si="156"/>
        <v>71</v>
      </c>
      <c r="H131" s="68">
        <f t="shared" si="156"/>
        <v>71</v>
      </c>
      <c r="I131" s="68">
        <f t="shared" si="156"/>
        <v>100</v>
      </c>
      <c r="J131" s="68">
        <f t="shared" si="156"/>
        <v>100</v>
      </c>
      <c r="K131" s="68">
        <f t="shared" ref="K131:L131" si="164">K22</f>
        <v>0</v>
      </c>
      <c r="L131" s="176">
        <f t="shared" si="164"/>
        <v>120</v>
      </c>
      <c r="M131" s="176">
        <f t="shared" ref="M131:P131" si="165">M22</f>
        <v>20</v>
      </c>
      <c r="N131" s="176">
        <f t="shared" si="165"/>
        <v>70</v>
      </c>
      <c r="O131" s="176">
        <f t="shared" si="165"/>
        <v>30</v>
      </c>
      <c r="P131" s="176">
        <f t="shared" si="165"/>
        <v>0</v>
      </c>
      <c r="Q131" s="117">
        <f t="shared" si="82"/>
        <v>120</v>
      </c>
      <c r="R131" s="117">
        <f t="shared" si="83"/>
        <v>0</v>
      </c>
      <c r="S131" s="176">
        <f t="shared" si="156"/>
        <v>120</v>
      </c>
      <c r="T131" s="176">
        <f t="shared" si="156"/>
        <v>120</v>
      </c>
      <c r="U131" s="176">
        <f t="shared" si="156"/>
        <v>120</v>
      </c>
    </row>
    <row r="132" spans="1:21" ht="15" customHeight="1">
      <c r="A132" s="34"/>
      <c r="B132" s="33" t="s">
        <v>455</v>
      </c>
      <c r="C132" s="12" t="s">
        <v>18</v>
      </c>
      <c r="D132" s="68">
        <f t="shared" si="156"/>
        <v>9996</v>
      </c>
      <c r="E132" s="68">
        <f t="shared" ref="E132:F132" si="166">E23</f>
        <v>5230.54</v>
      </c>
      <c r="F132" s="68">
        <f t="shared" si="166"/>
        <v>5483</v>
      </c>
      <c r="G132" s="68">
        <f t="shared" si="156"/>
        <v>11957</v>
      </c>
      <c r="H132" s="68">
        <f t="shared" si="156"/>
        <v>5483</v>
      </c>
      <c r="I132" s="68">
        <f t="shared" si="156"/>
        <v>13500</v>
      </c>
      <c r="J132" s="68">
        <f t="shared" si="156"/>
        <v>13500</v>
      </c>
      <c r="K132" s="68">
        <f t="shared" ref="K132:L132" si="167">K23</f>
        <v>13500</v>
      </c>
      <c r="L132" s="176">
        <f t="shared" si="167"/>
        <v>11902</v>
      </c>
      <c r="M132" s="176">
        <f t="shared" ref="M132:P132" si="168">M23</f>
        <v>0</v>
      </c>
      <c r="N132" s="176">
        <f t="shared" si="168"/>
        <v>2000</v>
      </c>
      <c r="O132" s="176">
        <f t="shared" si="168"/>
        <v>2000</v>
      </c>
      <c r="P132" s="176">
        <f t="shared" si="168"/>
        <v>7902</v>
      </c>
      <c r="Q132" s="117">
        <f t="shared" si="82"/>
        <v>11902</v>
      </c>
      <c r="R132" s="117">
        <f t="shared" si="83"/>
        <v>0</v>
      </c>
      <c r="S132" s="176">
        <f t="shared" si="156"/>
        <v>11902</v>
      </c>
      <c r="T132" s="176">
        <f t="shared" si="156"/>
        <v>11902</v>
      </c>
      <c r="U132" s="176">
        <f t="shared" si="156"/>
        <v>11902</v>
      </c>
    </row>
    <row r="133" spans="1:21" ht="15.75" hidden="1" customHeight="1">
      <c r="A133" s="34"/>
      <c r="B133" s="33" t="s">
        <v>21</v>
      </c>
      <c r="C133" s="12"/>
      <c r="D133" s="68"/>
      <c r="E133" s="197"/>
      <c r="F133" s="68"/>
      <c r="G133" s="68"/>
      <c r="H133" s="68"/>
      <c r="I133" s="197"/>
      <c r="J133" s="197"/>
      <c r="K133" s="197"/>
      <c r="L133" s="282"/>
      <c r="M133" s="282"/>
      <c r="N133" s="282"/>
      <c r="O133" s="282"/>
      <c r="P133" s="282"/>
      <c r="Q133" s="117">
        <f t="shared" si="82"/>
        <v>0</v>
      </c>
      <c r="R133" s="117">
        <f t="shared" si="83"/>
        <v>0</v>
      </c>
      <c r="S133" s="282"/>
      <c r="T133" s="282"/>
      <c r="U133" s="282"/>
    </row>
    <row r="134" spans="1:21" ht="15">
      <c r="A134" s="34"/>
      <c r="B134" s="33" t="s">
        <v>137</v>
      </c>
      <c r="C134" s="12" t="s">
        <v>18</v>
      </c>
      <c r="D134" s="68">
        <f t="shared" si="156"/>
        <v>2732</v>
      </c>
      <c r="E134" s="68">
        <f t="shared" ref="E134:F134" si="169">E25</f>
        <v>2481</v>
      </c>
      <c r="F134" s="68">
        <f t="shared" si="169"/>
        <v>3616</v>
      </c>
      <c r="G134" s="68">
        <f t="shared" si="156"/>
        <v>2495</v>
      </c>
      <c r="H134" s="68">
        <f t="shared" si="156"/>
        <v>3616</v>
      </c>
      <c r="I134" s="68">
        <f t="shared" si="156"/>
        <v>3594.6</v>
      </c>
      <c r="J134" s="68">
        <f t="shared" si="156"/>
        <v>3595</v>
      </c>
      <c r="K134" s="68">
        <f t="shared" ref="K134:L134" si="170">K25</f>
        <v>3609.6</v>
      </c>
      <c r="L134" s="176">
        <f t="shared" si="170"/>
        <v>3447</v>
      </c>
      <c r="M134" s="176">
        <f t="shared" ref="M134:P134" si="171">M25</f>
        <v>350</v>
      </c>
      <c r="N134" s="176">
        <f t="shared" si="171"/>
        <v>1000</v>
      </c>
      <c r="O134" s="176">
        <f t="shared" si="171"/>
        <v>1020</v>
      </c>
      <c r="P134" s="176">
        <f t="shared" si="171"/>
        <v>1077</v>
      </c>
      <c r="Q134" s="117">
        <f t="shared" si="82"/>
        <v>3447</v>
      </c>
      <c r="R134" s="117">
        <f t="shared" si="83"/>
        <v>0</v>
      </c>
      <c r="S134" s="176">
        <f t="shared" si="156"/>
        <v>3817</v>
      </c>
      <c r="T134" s="176">
        <f t="shared" si="156"/>
        <v>3870</v>
      </c>
      <c r="U134" s="176">
        <f t="shared" si="156"/>
        <v>3922</v>
      </c>
    </row>
    <row r="135" spans="1:21" ht="16.5" customHeight="1">
      <c r="A135" s="34"/>
      <c r="B135" s="33" t="s">
        <v>138</v>
      </c>
      <c r="C135" s="12" t="s">
        <v>18</v>
      </c>
      <c r="D135" s="68">
        <f t="shared" ref="D135:U141" si="172">D31</f>
        <v>13666</v>
      </c>
      <c r="E135" s="68">
        <f t="shared" ref="E135:F135" si="173">E31</f>
        <v>12571.5</v>
      </c>
      <c r="F135" s="68">
        <f t="shared" si="173"/>
        <v>13672</v>
      </c>
      <c r="G135" s="68">
        <f t="shared" si="172"/>
        <v>13672</v>
      </c>
      <c r="H135" s="68">
        <f t="shared" si="172"/>
        <v>13672</v>
      </c>
      <c r="I135" s="68">
        <f t="shared" si="172"/>
        <v>12575</v>
      </c>
      <c r="J135" s="68">
        <f t="shared" si="172"/>
        <v>12575</v>
      </c>
      <c r="K135" s="68">
        <f t="shared" ref="K135:L135" si="174">K31</f>
        <v>0</v>
      </c>
      <c r="L135" s="176">
        <f t="shared" si="174"/>
        <v>13677</v>
      </c>
      <c r="M135" s="176">
        <f t="shared" ref="M135:P135" si="175">M31</f>
        <v>3240</v>
      </c>
      <c r="N135" s="176">
        <f t="shared" si="175"/>
        <v>3240</v>
      </c>
      <c r="O135" s="176">
        <f t="shared" si="175"/>
        <v>3240</v>
      </c>
      <c r="P135" s="176">
        <f t="shared" si="175"/>
        <v>3957</v>
      </c>
      <c r="Q135" s="117">
        <f t="shared" si="82"/>
        <v>13677</v>
      </c>
      <c r="R135" s="117">
        <f t="shared" si="83"/>
        <v>0</v>
      </c>
      <c r="S135" s="176">
        <f t="shared" si="172"/>
        <v>16022</v>
      </c>
      <c r="T135" s="176">
        <f t="shared" si="172"/>
        <v>16027</v>
      </c>
      <c r="U135" s="176">
        <f t="shared" si="172"/>
        <v>16032</v>
      </c>
    </row>
    <row r="136" spans="1:21" ht="14.25" customHeight="1">
      <c r="A136" s="34"/>
      <c r="B136" s="33" t="s">
        <v>139</v>
      </c>
      <c r="C136" s="12" t="s">
        <v>18</v>
      </c>
      <c r="D136" s="68">
        <f t="shared" si="172"/>
        <v>12860</v>
      </c>
      <c r="E136" s="68">
        <f t="shared" ref="E136:F136" si="176">E32</f>
        <v>12571.5</v>
      </c>
      <c r="F136" s="68">
        <f t="shared" si="176"/>
        <v>13672</v>
      </c>
      <c r="G136" s="68">
        <f t="shared" si="172"/>
        <v>13672</v>
      </c>
      <c r="H136" s="68">
        <f t="shared" si="172"/>
        <v>13672</v>
      </c>
      <c r="I136" s="68">
        <f t="shared" si="172"/>
        <v>12575</v>
      </c>
      <c r="J136" s="68">
        <f t="shared" si="172"/>
        <v>12575</v>
      </c>
      <c r="K136" s="68">
        <f t="shared" ref="K136:L136" si="177">K32</f>
        <v>0</v>
      </c>
      <c r="L136" s="176">
        <f t="shared" si="177"/>
        <v>13677</v>
      </c>
      <c r="M136" s="176">
        <f t="shared" ref="M136:P136" si="178">M32</f>
        <v>3240</v>
      </c>
      <c r="N136" s="176">
        <f t="shared" si="178"/>
        <v>3240</v>
      </c>
      <c r="O136" s="176">
        <f t="shared" si="178"/>
        <v>3240</v>
      </c>
      <c r="P136" s="176">
        <f t="shared" si="178"/>
        <v>3957</v>
      </c>
      <c r="Q136" s="117">
        <f t="shared" si="82"/>
        <v>13677</v>
      </c>
      <c r="R136" s="117">
        <f t="shared" si="83"/>
        <v>0</v>
      </c>
      <c r="S136" s="176">
        <f t="shared" si="172"/>
        <v>16022</v>
      </c>
      <c r="T136" s="176">
        <f t="shared" si="172"/>
        <v>16027</v>
      </c>
      <c r="U136" s="176">
        <f t="shared" si="172"/>
        <v>16032</v>
      </c>
    </row>
    <row r="137" spans="1:21" ht="0.75" customHeight="1">
      <c r="A137" s="34"/>
      <c r="B137" s="33" t="s">
        <v>140</v>
      </c>
      <c r="C137" s="12" t="s">
        <v>18</v>
      </c>
      <c r="D137" s="68">
        <f t="shared" si="172"/>
        <v>806</v>
      </c>
      <c r="E137" s="197"/>
      <c r="F137" s="68">
        <f t="shared" ref="F137" si="179">F33</f>
        <v>0</v>
      </c>
      <c r="G137" s="68">
        <f t="shared" si="172"/>
        <v>0</v>
      </c>
      <c r="H137" s="68">
        <f t="shared" si="172"/>
        <v>0</v>
      </c>
      <c r="I137" s="197"/>
      <c r="J137" s="197"/>
      <c r="K137" s="197"/>
      <c r="L137" s="282"/>
      <c r="M137" s="282"/>
      <c r="N137" s="282"/>
      <c r="O137" s="282"/>
      <c r="P137" s="282"/>
      <c r="Q137" s="117">
        <f t="shared" si="82"/>
        <v>0</v>
      </c>
      <c r="R137" s="117">
        <f t="shared" si="83"/>
        <v>0</v>
      </c>
      <c r="S137" s="282"/>
      <c r="T137" s="282"/>
      <c r="U137" s="282"/>
    </row>
    <row r="138" spans="1:21" ht="18.75" customHeight="1">
      <c r="A138" s="34"/>
      <c r="B138" s="33" t="s">
        <v>24</v>
      </c>
      <c r="C138" s="12" t="s">
        <v>18</v>
      </c>
      <c r="D138" s="68">
        <f t="shared" si="172"/>
        <v>243</v>
      </c>
      <c r="E138" s="68">
        <f t="shared" ref="E138:F138" si="180">E34</f>
        <v>276</v>
      </c>
      <c r="F138" s="68">
        <f t="shared" si="180"/>
        <v>276</v>
      </c>
      <c r="G138" s="68">
        <f t="shared" si="172"/>
        <v>276</v>
      </c>
      <c r="H138" s="68">
        <f t="shared" si="172"/>
        <v>276</v>
      </c>
      <c r="I138" s="68">
        <f t="shared" si="172"/>
        <v>1000</v>
      </c>
      <c r="J138" s="68">
        <f t="shared" si="172"/>
        <v>1000</v>
      </c>
      <c r="K138" s="68">
        <f t="shared" ref="K138:L138" si="181">K34</f>
        <v>0</v>
      </c>
      <c r="L138" s="176">
        <f t="shared" si="181"/>
        <v>283</v>
      </c>
      <c r="M138" s="176">
        <f t="shared" ref="M138:P138" si="182">M34</f>
        <v>70</v>
      </c>
      <c r="N138" s="176">
        <f t="shared" si="182"/>
        <v>70</v>
      </c>
      <c r="O138" s="176">
        <f t="shared" si="182"/>
        <v>60</v>
      </c>
      <c r="P138" s="176">
        <f t="shared" si="182"/>
        <v>83</v>
      </c>
      <c r="Q138" s="117">
        <f t="shared" si="82"/>
        <v>283</v>
      </c>
      <c r="R138" s="117">
        <f t="shared" si="83"/>
        <v>0</v>
      </c>
      <c r="S138" s="176">
        <f t="shared" si="172"/>
        <v>290</v>
      </c>
      <c r="T138" s="176">
        <f t="shared" si="172"/>
        <v>297</v>
      </c>
      <c r="U138" s="176">
        <f t="shared" si="172"/>
        <v>304</v>
      </c>
    </row>
    <row r="139" spans="1:21" ht="0.75" customHeight="1">
      <c r="A139" s="34"/>
      <c r="B139" s="32" t="s">
        <v>25</v>
      </c>
      <c r="C139" s="12"/>
      <c r="D139" s="68"/>
      <c r="E139" s="197"/>
      <c r="F139" s="68"/>
      <c r="G139" s="68"/>
      <c r="H139" s="68"/>
      <c r="I139" s="197"/>
      <c r="J139" s="197"/>
      <c r="K139" s="197"/>
      <c r="L139" s="282"/>
      <c r="M139" s="282"/>
      <c r="N139" s="282"/>
      <c r="O139" s="282"/>
      <c r="P139" s="282"/>
      <c r="Q139" s="117">
        <f t="shared" si="82"/>
        <v>0</v>
      </c>
      <c r="R139" s="117">
        <f t="shared" si="83"/>
        <v>0</v>
      </c>
      <c r="S139" s="282"/>
      <c r="T139" s="282"/>
      <c r="U139" s="282"/>
    </row>
    <row r="140" spans="1:21" ht="18.75" customHeight="1">
      <c r="A140" s="34">
        <v>2</v>
      </c>
      <c r="B140" s="26" t="s">
        <v>26</v>
      </c>
      <c r="C140" s="12" t="s">
        <v>27</v>
      </c>
      <c r="D140" s="71">
        <f t="shared" si="172"/>
        <v>5591</v>
      </c>
      <c r="E140" s="71">
        <f t="shared" ref="E140:F140" si="183">E36</f>
        <v>12832</v>
      </c>
      <c r="F140" s="71">
        <f t="shared" si="183"/>
        <v>12832</v>
      </c>
      <c r="G140" s="71">
        <f t="shared" si="172"/>
        <v>12832</v>
      </c>
      <c r="H140" s="71">
        <f t="shared" si="172"/>
        <v>12832</v>
      </c>
      <c r="I140" s="71">
        <f t="shared" si="172"/>
        <v>53000</v>
      </c>
      <c r="J140" s="71">
        <f t="shared" si="172"/>
        <v>53000</v>
      </c>
      <c r="K140" s="71">
        <f t="shared" ref="K140:L140" si="184">K36</f>
        <v>0</v>
      </c>
      <c r="L140" s="286">
        <f t="shared" si="184"/>
        <v>18076</v>
      </c>
      <c r="M140" s="286">
        <f t="shared" ref="M140:P140" si="185">M36</f>
        <v>3940</v>
      </c>
      <c r="N140" s="286">
        <f t="shared" si="185"/>
        <v>7240</v>
      </c>
      <c r="O140" s="286">
        <f t="shared" si="185"/>
        <v>5000</v>
      </c>
      <c r="P140" s="286">
        <f t="shared" si="185"/>
        <v>1896</v>
      </c>
      <c r="Q140" s="117">
        <f t="shared" si="82"/>
        <v>18076</v>
      </c>
      <c r="R140" s="117">
        <f t="shared" si="83"/>
        <v>0</v>
      </c>
      <c r="S140" s="286">
        <f t="shared" si="172"/>
        <v>18076</v>
      </c>
      <c r="T140" s="286">
        <f t="shared" si="172"/>
        <v>18076</v>
      </c>
      <c r="U140" s="286">
        <f t="shared" si="172"/>
        <v>18076</v>
      </c>
    </row>
    <row r="141" spans="1:21" ht="15.75" customHeight="1">
      <c r="A141" s="34">
        <v>3</v>
      </c>
      <c r="B141" s="26" t="s">
        <v>28</v>
      </c>
      <c r="C141" s="12" t="s">
        <v>29</v>
      </c>
      <c r="D141" s="71">
        <f t="shared" si="172"/>
        <v>103636</v>
      </c>
      <c r="E141" s="71">
        <f t="shared" ref="E141:F141" si="186">E37</f>
        <v>65410</v>
      </c>
      <c r="F141" s="71">
        <f t="shared" si="186"/>
        <v>65410</v>
      </c>
      <c r="G141" s="71">
        <f t="shared" si="172"/>
        <v>50174</v>
      </c>
      <c r="H141" s="71">
        <f t="shared" si="172"/>
        <v>65410</v>
      </c>
      <c r="I141" s="71">
        <f t="shared" si="172"/>
        <v>34695</v>
      </c>
      <c r="J141" s="71">
        <f t="shared" si="172"/>
        <v>34695</v>
      </c>
      <c r="K141" s="71">
        <f t="shared" ref="K141:L141" si="187">K37</f>
        <v>0</v>
      </c>
      <c r="L141" s="286">
        <f t="shared" si="187"/>
        <v>32025</v>
      </c>
      <c r="M141" s="286">
        <f t="shared" ref="M141:P141" si="188">M37</f>
        <v>8500</v>
      </c>
      <c r="N141" s="286">
        <f t="shared" si="188"/>
        <v>7970</v>
      </c>
      <c r="O141" s="286">
        <f t="shared" si="188"/>
        <v>8500</v>
      </c>
      <c r="P141" s="286">
        <f t="shared" si="188"/>
        <v>7055</v>
      </c>
      <c r="Q141" s="117">
        <f t="shared" ref="Q141:Q204" si="189">M141+N141+O141+P141</f>
        <v>32025</v>
      </c>
      <c r="R141" s="117">
        <f t="shared" ref="R141:R204" si="190">L141-Q141</f>
        <v>0</v>
      </c>
      <c r="S141" s="286">
        <f t="shared" si="172"/>
        <v>31838</v>
      </c>
      <c r="T141" s="286">
        <f t="shared" si="172"/>
        <v>25035</v>
      </c>
      <c r="U141" s="286">
        <f t="shared" si="172"/>
        <v>18232</v>
      </c>
    </row>
    <row r="142" spans="1:21" ht="19.5" customHeight="1">
      <c r="A142" s="19" t="s">
        <v>30</v>
      </c>
      <c r="B142" s="26" t="s">
        <v>576</v>
      </c>
      <c r="C142" s="84"/>
      <c r="D142" s="67">
        <f t="shared" ref="D142:U142" si="191">D143+D147+D154+D161+D164+D159</f>
        <v>9180.56</v>
      </c>
      <c r="E142" s="67">
        <f t="shared" ref="E142:F142" si="192">E143+E147+E154+E161+E164+E159</f>
        <v>8390.25</v>
      </c>
      <c r="F142" s="67">
        <f t="shared" si="192"/>
        <v>1059.5</v>
      </c>
      <c r="G142" s="67">
        <f t="shared" si="191"/>
        <v>9700</v>
      </c>
      <c r="H142" s="67">
        <f t="shared" si="191"/>
        <v>1059.5</v>
      </c>
      <c r="I142" s="67">
        <f t="shared" si="191"/>
        <v>6910</v>
      </c>
      <c r="J142" s="67">
        <f t="shared" si="191"/>
        <v>-43446</v>
      </c>
      <c r="K142" s="67">
        <f t="shared" ref="K142:L142" si="193">K143+K147+K154+K161+K164+K159</f>
        <v>0</v>
      </c>
      <c r="L142" s="175">
        <f t="shared" si="193"/>
        <v>7100</v>
      </c>
      <c r="M142" s="175">
        <f t="shared" ref="M142:P142" si="194">M143+M147+M154+M161+M164+M159</f>
        <v>1460</v>
      </c>
      <c r="N142" s="175">
        <f t="shared" si="194"/>
        <v>2931</v>
      </c>
      <c r="O142" s="175">
        <f t="shared" si="194"/>
        <v>1381</v>
      </c>
      <c r="P142" s="175">
        <f t="shared" si="194"/>
        <v>1328</v>
      </c>
      <c r="Q142" s="117">
        <f t="shared" si="189"/>
        <v>7100</v>
      </c>
      <c r="R142" s="117">
        <f t="shared" si="190"/>
        <v>0</v>
      </c>
      <c r="S142" s="175">
        <f t="shared" si="191"/>
        <v>-10283</v>
      </c>
      <c r="T142" s="175">
        <f t="shared" si="191"/>
        <v>-10741</v>
      </c>
      <c r="U142" s="175">
        <f t="shared" si="191"/>
        <v>-9240</v>
      </c>
    </row>
    <row r="143" spans="1:21" ht="30" customHeight="1">
      <c r="A143" s="34">
        <v>1</v>
      </c>
      <c r="B143" s="31" t="s">
        <v>141</v>
      </c>
      <c r="C143" s="12">
        <v>16.02</v>
      </c>
      <c r="D143" s="71">
        <f t="shared" ref="D143:U143" si="195">D144+D146+D145</f>
        <v>3498.17</v>
      </c>
      <c r="E143" s="71">
        <f t="shared" ref="E143:F143" si="196">E144+E146+E145</f>
        <v>3006.47</v>
      </c>
      <c r="F143" s="71">
        <f t="shared" si="196"/>
        <v>3400</v>
      </c>
      <c r="G143" s="71">
        <f t="shared" si="195"/>
        <v>3400</v>
      </c>
      <c r="H143" s="71">
        <f t="shared" si="195"/>
        <v>3400</v>
      </c>
      <c r="I143" s="71">
        <f t="shared" si="195"/>
        <v>3140</v>
      </c>
      <c r="J143" s="71">
        <f t="shared" si="195"/>
        <v>3140</v>
      </c>
      <c r="K143" s="71">
        <f t="shared" ref="K143:L143" si="197">K144+K146+K145</f>
        <v>0</v>
      </c>
      <c r="L143" s="286">
        <f t="shared" si="197"/>
        <v>3240</v>
      </c>
      <c r="M143" s="286">
        <f t="shared" ref="M143:P143" si="198">M144+M146+M145</f>
        <v>885</v>
      </c>
      <c r="N143" s="286">
        <f t="shared" si="198"/>
        <v>735</v>
      </c>
      <c r="O143" s="286">
        <f t="shared" si="198"/>
        <v>835</v>
      </c>
      <c r="P143" s="286">
        <f t="shared" si="198"/>
        <v>785</v>
      </c>
      <c r="Q143" s="117">
        <f t="shared" si="189"/>
        <v>3240</v>
      </c>
      <c r="R143" s="117">
        <f t="shared" si="190"/>
        <v>0</v>
      </c>
      <c r="S143" s="286">
        <f t="shared" si="195"/>
        <v>3310</v>
      </c>
      <c r="T143" s="286">
        <f t="shared" si="195"/>
        <v>3460</v>
      </c>
      <c r="U143" s="286">
        <f t="shared" si="195"/>
        <v>3620</v>
      </c>
    </row>
    <row r="144" spans="1:21" ht="22.5" customHeight="1">
      <c r="A144" s="34"/>
      <c r="B144" s="33" t="s">
        <v>32</v>
      </c>
      <c r="C144" s="12" t="s">
        <v>33</v>
      </c>
      <c r="D144" s="68">
        <f t="shared" ref="D144:U147" si="199">D41</f>
        <v>172.91</v>
      </c>
      <c r="E144" s="68">
        <f t="shared" ref="E144:F144" si="200">E41</f>
        <v>166.51</v>
      </c>
      <c r="F144" s="68">
        <f t="shared" si="200"/>
        <v>200</v>
      </c>
      <c r="G144" s="68">
        <f t="shared" si="199"/>
        <v>200</v>
      </c>
      <c r="H144" s="68">
        <f t="shared" si="199"/>
        <v>200</v>
      </c>
      <c r="I144" s="68">
        <f t="shared" si="199"/>
        <v>175</v>
      </c>
      <c r="J144" s="68">
        <f t="shared" si="199"/>
        <v>175</v>
      </c>
      <c r="K144" s="68">
        <f t="shared" ref="K144:L144" si="201">K41</f>
        <v>0</v>
      </c>
      <c r="L144" s="176">
        <f t="shared" si="201"/>
        <v>200</v>
      </c>
      <c r="M144" s="176">
        <f t="shared" ref="M144:P144" si="202">M41</f>
        <v>50</v>
      </c>
      <c r="N144" s="176">
        <f t="shared" si="202"/>
        <v>50</v>
      </c>
      <c r="O144" s="176">
        <f t="shared" si="202"/>
        <v>50</v>
      </c>
      <c r="P144" s="176">
        <f t="shared" si="202"/>
        <v>50</v>
      </c>
      <c r="Q144" s="117">
        <f t="shared" si="189"/>
        <v>200</v>
      </c>
      <c r="R144" s="117">
        <f t="shared" si="190"/>
        <v>0</v>
      </c>
      <c r="S144" s="176">
        <f t="shared" si="199"/>
        <v>200</v>
      </c>
      <c r="T144" s="176">
        <f t="shared" si="199"/>
        <v>200</v>
      </c>
      <c r="U144" s="176">
        <f t="shared" si="199"/>
        <v>200</v>
      </c>
    </row>
    <row r="145" spans="1:21" ht="18" customHeight="1">
      <c r="A145" s="34"/>
      <c r="B145" s="32" t="s">
        <v>34</v>
      </c>
      <c r="C145" s="12" t="s">
        <v>35</v>
      </c>
      <c r="D145" s="68">
        <f t="shared" si="199"/>
        <v>2603.44</v>
      </c>
      <c r="E145" s="68">
        <f t="shared" ref="E145:F145" si="203">E42</f>
        <v>2515.58</v>
      </c>
      <c r="F145" s="68">
        <f t="shared" si="203"/>
        <v>2700</v>
      </c>
      <c r="G145" s="68">
        <f t="shared" si="199"/>
        <v>2700</v>
      </c>
      <c r="H145" s="68">
        <f t="shared" si="199"/>
        <v>2700</v>
      </c>
      <c r="I145" s="68">
        <f t="shared" si="199"/>
        <v>2625</v>
      </c>
      <c r="J145" s="68">
        <f t="shared" si="199"/>
        <v>2625</v>
      </c>
      <c r="K145" s="68">
        <f t="shared" ref="K145:L145" si="204">K42</f>
        <v>0</v>
      </c>
      <c r="L145" s="176">
        <f t="shared" si="204"/>
        <v>2700</v>
      </c>
      <c r="M145" s="176">
        <f t="shared" ref="M145:P145" si="205">M42</f>
        <v>750</v>
      </c>
      <c r="N145" s="176">
        <f t="shared" si="205"/>
        <v>600</v>
      </c>
      <c r="O145" s="176">
        <f t="shared" si="205"/>
        <v>700</v>
      </c>
      <c r="P145" s="176">
        <f t="shared" si="205"/>
        <v>650</v>
      </c>
      <c r="Q145" s="117">
        <f t="shared" si="189"/>
        <v>2700</v>
      </c>
      <c r="R145" s="117">
        <f t="shared" si="190"/>
        <v>0</v>
      </c>
      <c r="S145" s="176">
        <f t="shared" si="199"/>
        <v>2750</v>
      </c>
      <c r="T145" s="176">
        <f t="shared" si="199"/>
        <v>2885</v>
      </c>
      <c r="U145" s="176">
        <f t="shared" si="199"/>
        <v>3025</v>
      </c>
    </row>
    <row r="146" spans="1:21" ht="18.75" customHeight="1">
      <c r="A146" s="34"/>
      <c r="B146" s="33" t="s">
        <v>142</v>
      </c>
      <c r="C146" s="12" t="s">
        <v>37</v>
      </c>
      <c r="D146" s="68">
        <f t="shared" si="199"/>
        <v>721.82</v>
      </c>
      <c r="E146" s="68">
        <f t="shared" ref="E146:F146" si="206">E43</f>
        <v>324.38</v>
      </c>
      <c r="F146" s="68">
        <f t="shared" si="206"/>
        <v>500</v>
      </c>
      <c r="G146" s="68">
        <f t="shared" si="199"/>
        <v>500</v>
      </c>
      <c r="H146" s="68">
        <f t="shared" si="199"/>
        <v>500</v>
      </c>
      <c r="I146" s="68">
        <f t="shared" si="199"/>
        <v>340</v>
      </c>
      <c r="J146" s="68">
        <f t="shared" si="199"/>
        <v>340</v>
      </c>
      <c r="K146" s="68">
        <f t="shared" ref="K146:L146" si="207">K43</f>
        <v>0</v>
      </c>
      <c r="L146" s="176">
        <f t="shared" si="207"/>
        <v>340</v>
      </c>
      <c r="M146" s="176">
        <f t="shared" ref="M146:P146" si="208">M43</f>
        <v>85</v>
      </c>
      <c r="N146" s="176">
        <f t="shared" si="208"/>
        <v>85</v>
      </c>
      <c r="O146" s="176">
        <f t="shared" si="208"/>
        <v>85</v>
      </c>
      <c r="P146" s="176">
        <f t="shared" si="208"/>
        <v>85</v>
      </c>
      <c r="Q146" s="117">
        <f t="shared" si="189"/>
        <v>340</v>
      </c>
      <c r="R146" s="117">
        <f t="shared" si="190"/>
        <v>0</v>
      </c>
      <c r="S146" s="176">
        <f t="shared" si="199"/>
        <v>360</v>
      </c>
      <c r="T146" s="176">
        <f t="shared" si="199"/>
        <v>375</v>
      </c>
      <c r="U146" s="176">
        <f t="shared" si="199"/>
        <v>395</v>
      </c>
    </row>
    <row r="147" spans="1:21" ht="15" customHeight="1">
      <c r="A147" s="34">
        <v>2</v>
      </c>
      <c r="B147" s="26" t="s">
        <v>38</v>
      </c>
      <c r="C147" s="12" t="s">
        <v>39</v>
      </c>
      <c r="D147" s="65">
        <f t="shared" si="199"/>
        <v>4008.3799999999997</v>
      </c>
      <c r="E147" s="65">
        <f t="shared" ref="E147:F147" si="209">E44</f>
        <v>3956</v>
      </c>
      <c r="F147" s="65">
        <f t="shared" si="209"/>
        <v>4100</v>
      </c>
      <c r="G147" s="65">
        <f t="shared" si="199"/>
        <v>4100</v>
      </c>
      <c r="H147" s="65">
        <f t="shared" si="199"/>
        <v>4100</v>
      </c>
      <c r="I147" s="65">
        <f t="shared" si="199"/>
        <v>2275</v>
      </c>
      <c r="J147" s="65">
        <f t="shared" si="199"/>
        <v>2275</v>
      </c>
      <c r="K147" s="65">
        <f t="shared" ref="K147:L147" si="210">K44</f>
        <v>0</v>
      </c>
      <c r="L147" s="117">
        <f t="shared" si="210"/>
        <v>2275</v>
      </c>
      <c r="M147" s="117">
        <f t="shared" ref="M147:P147" si="211">M44</f>
        <v>178</v>
      </c>
      <c r="N147" s="117">
        <f t="shared" si="211"/>
        <v>1799</v>
      </c>
      <c r="O147" s="117">
        <f t="shared" si="211"/>
        <v>149</v>
      </c>
      <c r="P147" s="117">
        <f t="shared" si="211"/>
        <v>149</v>
      </c>
      <c r="Q147" s="117">
        <f t="shared" si="189"/>
        <v>2275</v>
      </c>
      <c r="R147" s="117">
        <f t="shared" si="190"/>
        <v>0</v>
      </c>
      <c r="S147" s="117">
        <f t="shared" si="199"/>
        <v>680</v>
      </c>
      <c r="T147" s="117">
        <f t="shared" si="199"/>
        <v>737</v>
      </c>
      <c r="U147" s="117">
        <f t="shared" si="199"/>
        <v>790</v>
      </c>
    </row>
    <row r="148" spans="1:21" ht="0.75" customHeight="1">
      <c r="A148" s="34"/>
      <c r="B148" s="33" t="s">
        <v>40</v>
      </c>
      <c r="C148" s="12" t="s">
        <v>41</v>
      </c>
      <c r="D148" s="68"/>
      <c r="E148" s="197"/>
      <c r="F148" s="68"/>
      <c r="G148" s="68"/>
      <c r="H148" s="68"/>
      <c r="I148" s="197"/>
      <c r="J148" s="197"/>
      <c r="K148" s="197"/>
      <c r="L148" s="282"/>
      <c r="M148" s="282"/>
      <c r="N148" s="282"/>
      <c r="O148" s="282"/>
      <c r="P148" s="282"/>
      <c r="Q148" s="117">
        <f t="shared" si="189"/>
        <v>0</v>
      </c>
      <c r="R148" s="117">
        <f t="shared" si="190"/>
        <v>0</v>
      </c>
      <c r="S148" s="282"/>
      <c r="T148" s="282"/>
      <c r="U148" s="282"/>
    </row>
    <row r="149" spans="1:21" ht="15" hidden="1" customHeight="1">
      <c r="A149" s="34"/>
      <c r="B149" s="33" t="s">
        <v>42</v>
      </c>
      <c r="C149" s="12" t="s">
        <v>43</v>
      </c>
      <c r="D149" s="68"/>
      <c r="E149" s="197"/>
      <c r="F149" s="68"/>
      <c r="G149" s="68"/>
      <c r="H149" s="68"/>
      <c r="I149" s="197"/>
      <c r="J149" s="197"/>
      <c r="K149" s="197"/>
      <c r="L149" s="282"/>
      <c r="M149" s="282"/>
      <c r="N149" s="282"/>
      <c r="O149" s="282"/>
      <c r="P149" s="282"/>
      <c r="Q149" s="117">
        <f t="shared" si="189"/>
        <v>0</v>
      </c>
      <c r="R149" s="117">
        <f t="shared" si="190"/>
        <v>0</v>
      </c>
      <c r="S149" s="282"/>
      <c r="T149" s="282"/>
      <c r="U149" s="282"/>
    </row>
    <row r="150" spans="1:21" ht="16.5" customHeight="1">
      <c r="A150" s="34"/>
      <c r="B150" s="33" t="s">
        <v>44</v>
      </c>
      <c r="C150" s="12" t="s">
        <v>45</v>
      </c>
      <c r="D150" s="68">
        <f t="shared" ref="D150:U150" si="212">D47</f>
        <v>3934.41</v>
      </c>
      <c r="E150" s="68">
        <f t="shared" ref="E150:F150" si="213">E47</f>
        <v>3885.42</v>
      </c>
      <c r="F150" s="68">
        <f t="shared" si="213"/>
        <v>4000</v>
      </c>
      <c r="G150" s="68">
        <f t="shared" si="212"/>
        <v>4000</v>
      </c>
      <c r="H150" s="68">
        <f t="shared" si="212"/>
        <v>4000</v>
      </c>
      <c r="I150" s="68">
        <f t="shared" si="212"/>
        <v>2200</v>
      </c>
      <c r="J150" s="68">
        <f t="shared" si="212"/>
        <v>2200</v>
      </c>
      <c r="K150" s="68">
        <f t="shared" ref="K150:L150" si="214">K47</f>
        <v>0</v>
      </c>
      <c r="L150" s="176">
        <f t="shared" si="214"/>
        <v>2200</v>
      </c>
      <c r="M150" s="176">
        <f t="shared" ref="M150:P150" si="215">M47</f>
        <v>160</v>
      </c>
      <c r="N150" s="176">
        <f t="shared" si="215"/>
        <v>1780</v>
      </c>
      <c r="O150" s="176">
        <f t="shared" si="215"/>
        <v>130</v>
      </c>
      <c r="P150" s="176">
        <f t="shared" si="215"/>
        <v>130</v>
      </c>
      <c r="Q150" s="117">
        <f t="shared" si="189"/>
        <v>2200</v>
      </c>
      <c r="R150" s="117">
        <f t="shared" si="190"/>
        <v>0</v>
      </c>
      <c r="S150" s="176">
        <f t="shared" si="212"/>
        <v>600</v>
      </c>
      <c r="T150" s="176">
        <f t="shared" si="212"/>
        <v>650</v>
      </c>
      <c r="U150" s="176">
        <f t="shared" si="212"/>
        <v>700</v>
      </c>
    </row>
    <row r="151" spans="1:21" ht="16.5" hidden="1" customHeight="1">
      <c r="A151" s="34"/>
      <c r="B151" s="33" t="s">
        <v>46</v>
      </c>
      <c r="C151" s="12" t="s">
        <v>47</v>
      </c>
      <c r="D151" s="68"/>
      <c r="E151" s="197"/>
      <c r="F151" s="68"/>
      <c r="G151" s="68"/>
      <c r="H151" s="68"/>
      <c r="I151" s="197"/>
      <c r="J151" s="197"/>
      <c r="K151" s="197"/>
      <c r="L151" s="282"/>
      <c r="M151" s="282"/>
      <c r="N151" s="282"/>
      <c r="O151" s="282"/>
      <c r="P151" s="282"/>
      <c r="Q151" s="117">
        <f t="shared" si="189"/>
        <v>0</v>
      </c>
      <c r="R151" s="117">
        <f t="shared" si="190"/>
        <v>0</v>
      </c>
      <c r="S151" s="282"/>
      <c r="T151" s="282"/>
      <c r="U151" s="282"/>
    </row>
    <row r="152" spans="1:21" ht="15.75" customHeight="1">
      <c r="A152" s="34"/>
      <c r="B152" s="33" t="s">
        <v>48</v>
      </c>
      <c r="C152" s="12" t="s">
        <v>49</v>
      </c>
      <c r="D152" s="68">
        <f t="shared" ref="D152:U152" si="216">D153</f>
        <v>73.97</v>
      </c>
      <c r="E152" s="68">
        <f t="shared" si="216"/>
        <v>70.58</v>
      </c>
      <c r="F152" s="68">
        <f t="shared" si="216"/>
        <v>100</v>
      </c>
      <c r="G152" s="68">
        <f t="shared" si="216"/>
        <v>100</v>
      </c>
      <c r="H152" s="68">
        <f t="shared" si="216"/>
        <v>100</v>
      </c>
      <c r="I152" s="68">
        <f t="shared" si="216"/>
        <v>75</v>
      </c>
      <c r="J152" s="68">
        <f t="shared" si="216"/>
        <v>75</v>
      </c>
      <c r="K152" s="68">
        <f t="shared" si="216"/>
        <v>0</v>
      </c>
      <c r="L152" s="176">
        <f t="shared" si="216"/>
        <v>75</v>
      </c>
      <c r="M152" s="176">
        <f t="shared" si="216"/>
        <v>18</v>
      </c>
      <c r="N152" s="176">
        <f t="shared" si="216"/>
        <v>19</v>
      </c>
      <c r="O152" s="176">
        <f t="shared" si="216"/>
        <v>19</v>
      </c>
      <c r="P152" s="176">
        <f t="shared" si="216"/>
        <v>19</v>
      </c>
      <c r="Q152" s="117">
        <f t="shared" si="189"/>
        <v>75</v>
      </c>
      <c r="R152" s="117">
        <f t="shared" si="190"/>
        <v>0</v>
      </c>
      <c r="S152" s="176">
        <f t="shared" si="216"/>
        <v>80</v>
      </c>
      <c r="T152" s="176">
        <f t="shared" si="216"/>
        <v>87</v>
      </c>
      <c r="U152" s="176">
        <f t="shared" si="216"/>
        <v>90</v>
      </c>
    </row>
    <row r="153" spans="1:21" ht="18.75" customHeight="1">
      <c r="A153" s="34"/>
      <c r="B153" s="33" t="s">
        <v>50</v>
      </c>
      <c r="C153" s="12" t="s">
        <v>51</v>
      </c>
      <c r="D153" s="66">
        <f t="shared" ref="D153:U153" si="217">D50</f>
        <v>73.97</v>
      </c>
      <c r="E153" s="66">
        <f t="shared" ref="E153:F153" si="218">E50</f>
        <v>70.58</v>
      </c>
      <c r="F153" s="66">
        <f t="shared" si="218"/>
        <v>100</v>
      </c>
      <c r="G153" s="66">
        <f t="shared" si="217"/>
        <v>100</v>
      </c>
      <c r="H153" s="66">
        <f t="shared" si="217"/>
        <v>100</v>
      </c>
      <c r="I153" s="66">
        <f t="shared" si="217"/>
        <v>75</v>
      </c>
      <c r="J153" s="66">
        <f t="shared" si="217"/>
        <v>75</v>
      </c>
      <c r="K153" s="66">
        <f t="shared" ref="K153:L153" si="219">K50</f>
        <v>0</v>
      </c>
      <c r="L153" s="288">
        <f t="shared" si="219"/>
        <v>75</v>
      </c>
      <c r="M153" s="288">
        <f t="shared" ref="M153:P153" si="220">M50</f>
        <v>18</v>
      </c>
      <c r="N153" s="288">
        <f t="shared" si="220"/>
        <v>19</v>
      </c>
      <c r="O153" s="288">
        <f t="shared" si="220"/>
        <v>19</v>
      </c>
      <c r="P153" s="288">
        <f t="shared" si="220"/>
        <v>19</v>
      </c>
      <c r="Q153" s="117">
        <f t="shared" si="189"/>
        <v>75</v>
      </c>
      <c r="R153" s="117">
        <f t="shared" si="190"/>
        <v>0</v>
      </c>
      <c r="S153" s="288">
        <f t="shared" si="217"/>
        <v>80</v>
      </c>
      <c r="T153" s="288">
        <f t="shared" si="217"/>
        <v>87</v>
      </c>
      <c r="U153" s="288">
        <f t="shared" si="217"/>
        <v>90</v>
      </c>
    </row>
    <row r="154" spans="1:21" ht="18.75" customHeight="1">
      <c r="A154" s="34">
        <v>3</v>
      </c>
      <c r="B154" s="26" t="s">
        <v>52</v>
      </c>
      <c r="C154" s="12">
        <v>33.020000000000003</v>
      </c>
      <c r="D154" s="71">
        <f t="shared" ref="D154:U154" si="221">D155+D156+D157+D158</f>
        <v>1394.75</v>
      </c>
      <c r="E154" s="71">
        <f t="shared" ref="E154:F154" si="222">E155+E156+E157+E158</f>
        <v>1345.5</v>
      </c>
      <c r="F154" s="71">
        <f t="shared" si="222"/>
        <v>1935</v>
      </c>
      <c r="G154" s="71">
        <f t="shared" si="221"/>
        <v>1935</v>
      </c>
      <c r="H154" s="71">
        <f t="shared" si="221"/>
        <v>1935</v>
      </c>
      <c r="I154" s="71">
        <f t="shared" si="221"/>
        <v>1405</v>
      </c>
      <c r="J154" s="71">
        <f t="shared" si="221"/>
        <v>1405</v>
      </c>
      <c r="K154" s="71">
        <f t="shared" ref="K154:L154" si="223">K155+K156+K157+K158</f>
        <v>0</v>
      </c>
      <c r="L154" s="286">
        <f t="shared" si="223"/>
        <v>1495</v>
      </c>
      <c r="M154" s="286">
        <f t="shared" ref="M154:P154" si="224">M155+M156+M157+M158</f>
        <v>374</v>
      </c>
      <c r="N154" s="286">
        <f t="shared" si="224"/>
        <v>374</v>
      </c>
      <c r="O154" s="286">
        <f t="shared" si="224"/>
        <v>374</v>
      </c>
      <c r="P154" s="286">
        <f t="shared" si="224"/>
        <v>373</v>
      </c>
      <c r="Q154" s="117">
        <f t="shared" si="189"/>
        <v>1495</v>
      </c>
      <c r="R154" s="117">
        <f t="shared" si="190"/>
        <v>0</v>
      </c>
      <c r="S154" s="286">
        <f t="shared" si="221"/>
        <v>1516</v>
      </c>
      <c r="T154" s="286">
        <f t="shared" si="221"/>
        <v>1519</v>
      </c>
      <c r="U154" s="286">
        <f t="shared" si="221"/>
        <v>1520</v>
      </c>
    </row>
    <row r="155" spans="1:21" ht="18.75" customHeight="1">
      <c r="A155" s="34"/>
      <c r="B155" s="33" t="s">
        <v>417</v>
      </c>
      <c r="C155" s="12" t="s">
        <v>418</v>
      </c>
      <c r="D155" s="71">
        <f t="shared" ref="D155:U156" si="225">D52</f>
        <v>1370.8</v>
      </c>
      <c r="E155" s="71">
        <f t="shared" ref="E155:F155" si="226">E52</f>
        <v>1332.4</v>
      </c>
      <c r="F155" s="71">
        <f t="shared" si="226"/>
        <v>1900</v>
      </c>
      <c r="G155" s="71">
        <f t="shared" si="225"/>
        <v>1900</v>
      </c>
      <c r="H155" s="71">
        <f t="shared" si="225"/>
        <v>1900</v>
      </c>
      <c r="I155" s="71">
        <f t="shared" si="225"/>
        <v>1390</v>
      </c>
      <c r="J155" s="71">
        <f t="shared" si="225"/>
        <v>1390</v>
      </c>
      <c r="K155" s="71">
        <f t="shared" ref="K155:L155" si="227">K52</f>
        <v>0</v>
      </c>
      <c r="L155" s="286">
        <f t="shared" si="227"/>
        <v>1480</v>
      </c>
      <c r="M155" s="286">
        <f t="shared" ref="M155:P155" si="228">M52</f>
        <v>370</v>
      </c>
      <c r="N155" s="286">
        <f t="shared" si="228"/>
        <v>370</v>
      </c>
      <c r="O155" s="286">
        <f t="shared" si="228"/>
        <v>370</v>
      </c>
      <c r="P155" s="286">
        <f t="shared" si="228"/>
        <v>370</v>
      </c>
      <c r="Q155" s="117">
        <f t="shared" si="189"/>
        <v>1480</v>
      </c>
      <c r="R155" s="117">
        <f t="shared" si="190"/>
        <v>0</v>
      </c>
      <c r="S155" s="286">
        <f t="shared" si="225"/>
        <v>1500</v>
      </c>
      <c r="T155" s="286">
        <f t="shared" si="225"/>
        <v>1500</v>
      </c>
      <c r="U155" s="286">
        <f t="shared" si="225"/>
        <v>1500</v>
      </c>
    </row>
    <row r="156" spans="1:21" ht="15" customHeight="1">
      <c r="A156" s="34"/>
      <c r="B156" s="33" t="s">
        <v>53</v>
      </c>
      <c r="C156" s="12" t="s">
        <v>54</v>
      </c>
      <c r="D156" s="66">
        <f t="shared" si="225"/>
        <v>14.05</v>
      </c>
      <c r="E156" s="66">
        <f t="shared" ref="E156:F156" si="229">E53</f>
        <v>10</v>
      </c>
      <c r="F156" s="66">
        <f t="shared" si="229"/>
        <v>20</v>
      </c>
      <c r="G156" s="66">
        <f t="shared" si="225"/>
        <v>20</v>
      </c>
      <c r="H156" s="66">
        <f t="shared" si="225"/>
        <v>20</v>
      </c>
      <c r="I156" s="66">
        <f t="shared" si="225"/>
        <v>11</v>
      </c>
      <c r="J156" s="66">
        <f t="shared" si="225"/>
        <v>11</v>
      </c>
      <c r="K156" s="66">
        <f t="shared" ref="K156:L156" si="230">K53</f>
        <v>0</v>
      </c>
      <c r="L156" s="288">
        <f t="shared" si="230"/>
        <v>11</v>
      </c>
      <c r="M156" s="288">
        <f t="shared" ref="M156:P156" si="231">M53</f>
        <v>3</v>
      </c>
      <c r="N156" s="288">
        <f t="shared" si="231"/>
        <v>3</v>
      </c>
      <c r="O156" s="288">
        <f t="shared" si="231"/>
        <v>3</v>
      </c>
      <c r="P156" s="288">
        <f t="shared" si="231"/>
        <v>2</v>
      </c>
      <c r="Q156" s="117">
        <f t="shared" si="189"/>
        <v>11</v>
      </c>
      <c r="R156" s="117">
        <f t="shared" si="190"/>
        <v>0</v>
      </c>
      <c r="S156" s="288">
        <f t="shared" si="225"/>
        <v>12</v>
      </c>
      <c r="T156" s="288">
        <f t="shared" si="225"/>
        <v>13</v>
      </c>
      <c r="U156" s="288">
        <f t="shared" si="225"/>
        <v>13</v>
      </c>
    </row>
    <row r="157" spans="1:21" ht="17.25" hidden="1" customHeight="1">
      <c r="A157" s="34"/>
      <c r="B157" s="33" t="s">
        <v>55</v>
      </c>
      <c r="C157" s="12" t="s">
        <v>56</v>
      </c>
      <c r="D157" s="68"/>
      <c r="E157" s="197"/>
      <c r="F157" s="68"/>
      <c r="G157" s="68"/>
      <c r="H157" s="68"/>
      <c r="I157" s="197"/>
      <c r="J157" s="197"/>
      <c r="K157" s="197"/>
      <c r="L157" s="282"/>
      <c r="M157" s="282"/>
      <c r="N157" s="282"/>
      <c r="O157" s="282"/>
      <c r="P157" s="282"/>
      <c r="Q157" s="117">
        <f t="shared" si="189"/>
        <v>0</v>
      </c>
      <c r="R157" s="117">
        <f t="shared" si="190"/>
        <v>0</v>
      </c>
      <c r="S157" s="282"/>
      <c r="T157" s="282"/>
      <c r="U157" s="282"/>
    </row>
    <row r="158" spans="1:21" ht="19.5" customHeight="1">
      <c r="A158" s="34"/>
      <c r="B158" s="33" t="s">
        <v>52</v>
      </c>
      <c r="C158" s="12" t="s">
        <v>57</v>
      </c>
      <c r="D158" s="66">
        <f t="shared" ref="D158:U158" si="232">D55</f>
        <v>9.9</v>
      </c>
      <c r="E158" s="66">
        <f t="shared" ref="E158:F158" si="233">E55</f>
        <v>3.1</v>
      </c>
      <c r="F158" s="66">
        <f t="shared" si="233"/>
        <v>15</v>
      </c>
      <c r="G158" s="66">
        <f t="shared" si="232"/>
        <v>15</v>
      </c>
      <c r="H158" s="66">
        <f t="shared" si="232"/>
        <v>15</v>
      </c>
      <c r="I158" s="66">
        <f t="shared" si="232"/>
        <v>4</v>
      </c>
      <c r="J158" s="66">
        <f t="shared" si="232"/>
        <v>4</v>
      </c>
      <c r="K158" s="66">
        <f t="shared" ref="K158:L158" si="234">K55</f>
        <v>0</v>
      </c>
      <c r="L158" s="288">
        <f t="shared" si="234"/>
        <v>4</v>
      </c>
      <c r="M158" s="288">
        <f t="shared" ref="M158:P158" si="235">M55</f>
        <v>1</v>
      </c>
      <c r="N158" s="288">
        <f t="shared" si="235"/>
        <v>1</v>
      </c>
      <c r="O158" s="288">
        <f t="shared" si="235"/>
        <v>1</v>
      </c>
      <c r="P158" s="288">
        <f t="shared" si="235"/>
        <v>1</v>
      </c>
      <c r="Q158" s="117">
        <f t="shared" si="189"/>
        <v>4</v>
      </c>
      <c r="R158" s="117">
        <f t="shared" si="190"/>
        <v>0</v>
      </c>
      <c r="S158" s="288">
        <f t="shared" si="232"/>
        <v>4</v>
      </c>
      <c r="T158" s="288">
        <f t="shared" si="232"/>
        <v>6</v>
      </c>
      <c r="U158" s="288">
        <f t="shared" si="232"/>
        <v>7</v>
      </c>
    </row>
    <row r="159" spans="1:21" ht="19.5" customHeight="1">
      <c r="A159" s="34">
        <v>4</v>
      </c>
      <c r="B159" s="26" t="s">
        <v>58</v>
      </c>
      <c r="C159" s="12">
        <v>35.020000000000003</v>
      </c>
      <c r="D159" s="71">
        <f t="shared" ref="D159:U159" si="236">D160</f>
        <v>50.89</v>
      </c>
      <c r="E159" s="71">
        <f t="shared" si="236"/>
        <v>51.61</v>
      </c>
      <c r="F159" s="71">
        <f t="shared" si="236"/>
        <v>65</v>
      </c>
      <c r="G159" s="71">
        <f t="shared" si="236"/>
        <v>65</v>
      </c>
      <c r="H159" s="71">
        <f t="shared" si="236"/>
        <v>65</v>
      </c>
      <c r="I159" s="71">
        <f t="shared" si="236"/>
        <v>55</v>
      </c>
      <c r="J159" s="71">
        <f t="shared" si="236"/>
        <v>55</v>
      </c>
      <c r="K159" s="71">
        <f t="shared" si="236"/>
        <v>0</v>
      </c>
      <c r="L159" s="286">
        <f t="shared" si="236"/>
        <v>55</v>
      </c>
      <c r="M159" s="286">
        <f t="shared" si="236"/>
        <v>14</v>
      </c>
      <c r="N159" s="286">
        <f t="shared" si="236"/>
        <v>14</v>
      </c>
      <c r="O159" s="286">
        <f t="shared" si="236"/>
        <v>14</v>
      </c>
      <c r="P159" s="286">
        <f t="shared" si="236"/>
        <v>13</v>
      </c>
      <c r="Q159" s="117">
        <f t="shared" si="189"/>
        <v>55</v>
      </c>
      <c r="R159" s="117">
        <f t="shared" si="190"/>
        <v>0</v>
      </c>
      <c r="S159" s="286">
        <f t="shared" si="236"/>
        <v>57</v>
      </c>
      <c r="T159" s="286">
        <f t="shared" si="236"/>
        <v>60</v>
      </c>
      <c r="U159" s="286">
        <f t="shared" si="236"/>
        <v>60</v>
      </c>
    </row>
    <row r="160" spans="1:21" ht="19.5" customHeight="1">
      <c r="A160" s="34"/>
      <c r="B160" s="33" t="s">
        <v>59</v>
      </c>
      <c r="C160" s="12" t="s">
        <v>60</v>
      </c>
      <c r="D160" s="68">
        <f t="shared" ref="D160:U160" si="237">D57</f>
        <v>50.89</v>
      </c>
      <c r="E160" s="68">
        <f t="shared" ref="E160:F160" si="238">E57</f>
        <v>51.61</v>
      </c>
      <c r="F160" s="68">
        <f t="shared" si="238"/>
        <v>65</v>
      </c>
      <c r="G160" s="68">
        <f t="shared" si="237"/>
        <v>65</v>
      </c>
      <c r="H160" s="68">
        <f t="shared" si="237"/>
        <v>65</v>
      </c>
      <c r="I160" s="68">
        <f t="shared" si="237"/>
        <v>55</v>
      </c>
      <c r="J160" s="68">
        <f t="shared" si="237"/>
        <v>55</v>
      </c>
      <c r="K160" s="68">
        <f t="shared" ref="K160:L160" si="239">K57</f>
        <v>0</v>
      </c>
      <c r="L160" s="176">
        <f t="shared" si="239"/>
        <v>55</v>
      </c>
      <c r="M160" s="176">
        <f t="shared" ref="M160:P160" si="240">M57</f>
        <v>14</v>
      </c>
      <c r="N160" s="176">
        <f t="shared" si="240"/>
        <v>14</v>
      </c>
      <c r="O160" s="176">
        <f t="shared" si="240"/>
        <v>14</v>
      </c>
      <c r="P160" s="176">
        <f t="shared" si="240"/>
        <v>13</v>
      </c>
      <c r="Q160" s="117">
        <f t="shared" si="189"/>
        <v>55</v>
      </c>
      <c r="R160" s="117">
        <f t="shared" si="190"/>
        <v>0</v>
      </c>
      <c r="S160" s="176">
        <f t="shared" si="237"/>
        <v>57</v>
      </c>
      <c r="T160" s="176">
        <f t="shared" si="237"/>
        <v>60</v>
      </c>
      <c r="U160" s="176">
        <f t="shared" si="237"/>
        <v>60</v>
      </c>
    </row>
    <row r="161" spans="1:21" ht="19.5" customHeight="1">
      <c r="A161" s="34">
        <v>5</v>
      </c>
      <c r="B161" s="26" t="s">
        <v>61</v>
      </c>
      <c r="C161" s="12">
        <v>36.020000000000003</v>
      </c>
      <c r="D161" s="71">
        <f t="shared" ref="D161:U161" si="241">D162+D163</f>
        <v>173.37</v>
      </c>
      <c r="E161" s="71">
        <f t="shared" ref="E161:F161" si="242">E162+E163</f>
        <v>30.67</v>
      </c>
      <c r="F161" s="71">
        <f t="shared" si="242"/>
        <v>200</v>
      </c>
      <c r="G161" s="71">
        <f t="shared" si="241"/>
        <v>200</v>
      </c>
      <c r="H161" s="71">
        <f t="shared" si="241"/>
        <v>200</v>
      </c>
      <c r="I161" s="71">
        <f t="shared" si="241"/>
        <v>35</v>
      </c>
      <c r="J161" s="71">
        <f t="shared" si="241"/>
        <v>35</v>
      </c>
      <c r="K161" s="71">
        <f t="shared" ref="K161:L161" si="243">K162+K163</f>
        <v>0</v>
      </c>
      <c r="L161" s="286">
        <f t="shared" si="243"/>
        <v>35</v>
      </c>
      <c r="M161" s="286">
        <f t="shared" ref="M161:P161" si="244">M162+M163</f>
        <v>9</v>
      </c>
      <c r="N161" s="286">
        <f t="shared" si="244"/>
        <v>9</v>
      </c>
      <c r="O161" s="286">
        <f t="shared" si="244"/>
        <v>9</v>
      </c>
      <c r="P161" s="286">
        <f t="shared" si="244"/>
        <v>8</v>
      </c>
      <c r="Q161" s="117">
        <f t="shared" si="189"/>
        <v>35</v>
      </c>
      <c r="R161" s="117">
        <f t="shared" si="190"/>
        <v>0</v>
      </c>
      <c r="S161" s="286">
        <f t="shared" si="241"/>
        <v>37</v>
      </c>
      <c r="T161" s="286">
        <f t="shared" si="241"/>
        <v>39</v>
      </c>
      <c r="U161" s="286">
        <f t="shared" si="241"/>
        <v>40</v>
      </c>
    </row>
    <row r="162" spans="1:21" ht="18" hidden="1" customHeight="1">
      <c r="A162" s="34"/>
      <c r="B162" s="33" t="s">
        <v>143</v>
      </c>
      <c r="C162" s="12" t="s">
        <v>63</v>
      </c>
      <c r="D162" s="68">
        <f t="shared" ref="D162:H162" si="245">D59</f>
        <v>0</v>
      </c>
      <c r="E162" s="197"/>
      <c r="F162" s="68">
        <f t="shared" ref="F162" si="246">F59</f>
        <v>0</v>
      </c>
      <c r="G162" s="68">
        <f t="shared" si="245"/>
        <v>0</v>
      </c>
      <c r="H162" s="68">
        <f t="shared" si="245"/>
        <v>0</v>
      </c>
      <c r="I162" s="197"/>
      <c r="J162" s="197"/>
      <c r="K162" s="197"/>
      <c r="L162" s="282"/>
      <c r="M162" s="282"/>
      <c r="N162" s="282"/>
      <c r="O162" s="282"/>
      <c r="P162" s="282"/>
      <c r="Q162" s="117">
        <f t="shared" si="189"/>
        <v>0</v>
      </c>
      <c r="R162" s="117">
        <f t="shared" si="190"/>
        <v>0</v>
      </c>
      <c r="S162" s="282"/>
      <c r="T162" s="282"/>
      <c r="U162" s="282"/>
    </row>
    <row r="163" spans="1:21" ht="18" customHeight="1">
      <c r="A163" s="34"/>
      <c r="B163" s="33" t="s">
        <v>64</v>
      </c>
      <c r="C163" s="12" t="s">
        <v>65</v>
      </c>
      <c r="D163" s="68">
        <f t="shared" ref="D163:U163" si="247">D61</f>
        <v>173.37</v>
      </c>
      <c r="E163" s="68">
        <f t="shared" ref="E163:F163" si="248">E61</f>
        <v>30.67</v>
      </c>
      <c r="F163" s="68">
        <f t="shared" si="248"/>
        <v>200</v>
      </c>
      <c r="G163" s="68">
        <f t="shared" si="247"/>
        <v>200</v>
      </c>
      <c r="H163" s="68">
        <f t="shared" si="247"/>
        <v>200</v>
      </c>
      <c r="I163" s="68">
        <f t="shared" si="247"/>
        <v>35</v>
      </c>
      <c r="J163" s="68">
        <f t="shared" si="247"/>
        <v>35</v>
      </c>
      <c r="K163" s="68">
        <f t="shared" ref="K163:L163" si="249">K61</f>
        <v>0</v>
      </c>
      <c r="L163" s="176">
        <f t="shared" si="249"/>
        <v>35</v>
      </c>
      <c r="M163" s="176">
        <f t="shared" ref="M163:P163" si="250">M61</f>
        <v>9</v>
      </c>
      <c r="N163" s="176">
        <f t="shared" si="250"/>
        <v>9</v>
      </c>
      <c r="O163" s="176">
        <f t="shared" si="250"/>
        <v>9</v>
      </c>
      <c r="P163" s="176">
        <f t="shared" si="250"/>
        <v>8</v>
      </c>
      <c r="Q163" s="117">
        <f t="shared" si="189"/>
        <v>35</v>
      </c>
      <c r="R163" s="117">
        <f t="shared" si="190"/>
        <v>0</v>
      </c>
      <c r="S163" s="176">
        <f t="shared" si="247"/>
        <v>37</v>
      </c>
      <c r="T163" s="176">
        <f t="shared" si="247"/>
        <v>39</v>
      </c>
      <c r="U163" s="176">
        <f t="shared" si="247"/>
        <v>40</v>
      </c>
    </row>
    <row r="164" spans="1:21" ht="15" hidden="1" customHeight="1">
      <c r="A164" s="34">
        <v>4</v>
      </c>
      <c r="B164" s="26" t="s">
        <v>66</v>
      </c>
      <c r="C164" s="12">
        <v>37.020000000000003</v>
      </c>
      <c r="D164" s="71">
        <f t="shared" ref="D164:U164" si="251">D165+D166+D167</f>
        <v>55</v>
      </c>
      <c r="E164" s="71">
        <f t="shared" ref="E164:F164" si="252">E165+E166+E167</f>
        <v>0</v>
      </c>
      <c r="F164" s="71">
        <f t="shared" si="252"/>
        <v>-8640.5</v>
      </c>
      <c r="G164" s="71">
        <f t="shared" si="251"/>
        <v>0</v>
      </c>
      <c r="H164" s="71">
        <f t="shared" si="251"/>
        <v>-8640.5</v>
      </c>
      <c r="I164" s="71">
        <f t="shared" si="251"/>
        <v>0</v>
      </c>
      <c r="J164" s="71">
        <f t="shared" si="251"/>
        <v>-50356</v>
      </c>
      <c r="K164" s="71">
        <f t="shared" ref="K164:L164" si="253">K165+K166+K167</f>
        <v>0</v>
      </c>
      <c r="L164" s="286">
        <f t="shared" si="253"/>
        <v>0</v>
      </c>
      <c r="M164" s="286">
        <f t="shared" ref="M164:P164" si="254">M165+M166+M167</f>
        <v>0</v>
      </c>
      <c r="N164" s="286">
        <f t="shared" si="254"/>
        <v>0</v>
      </c>
      <c r="O164" s="286">
        <f t="shared" si="254"/>
        <v>0</v>
      </c>
      <c r="P164" s="286">
        <f t="shared" si="254"/>
        <v>0</v>
      </c>
      <c r="Q164" s="117">
        <f t="shared" si="189"/>
        <v>0</v>
      </c>
      <c r="R164" s="117">
        <f t="shared" si="190"/>
        <v>0</v>
      </c>
      <c r="S164" s="286">
        <f t="shared" si="251"/>
        <v>-15883</v>
      </c>
      <c r="T164" s="286">
        <f t="shared" si="251"/>
        <v>-16556</v>
      </c>
      <c r="U164" s="286">
        <f t="shared" si="251"/>
        <v>-15270</v>
      </c>
    </row>
    <row r="165" spans="1:21" ht="14.25" hidden="1" customHeight="1">
      <c r="A165" s="34"/>
      <c r="B165" s="33" t="s">
        <v>67</v>
      </c>
      <c r="C165" s="12" t="s">
        <v>68</v>
      </c>
      <c r="D165" s="71">
        <f t="shared" ref="D165:U166" si="255">D63</f>
        <v>55</v>
      </c>
      <c r="E165" s="71">
        <f t="shared" ref="E165:F165" si="256">E63</f>
        <v>0</v>
      </c>
      <c r="F165" s="71">
        <f t="shared" si="256"/>
        <v>0</v>
      </c>
      <c r="G165" s="71">
        <f t="shared" si="255"/>
        <v>0</v>
      </c>
      <c r="H165" s="71">
        <f t="shared" si="255"/>
        <v>0</v>
      </c>
      <c r="I165" s="71">
        <f t="shared" si="255"/>
        <v>0</v>
      </c>
      <c r="J165" s="71">
        <f t="shared" si="255"/>
        <v>0</v>
      </c>
      <c r="K165" s="71">
        <f t="shared" ref="K165:L165" si="257">K63</f>
        <v>0</v>
      </c>
      <c r="L165" s="286">
        <f t="shared" si="257"/>
        <v>0</v>
      </c>
      <c r="M165" s="286">
        <f t="shared" ref="M165:P165" si="258">M63</f>
        <v>0</v>
      </c>
      <c r="N165" s="286">
        <f t="shared" si="258"/>
        <v>0</v>
      </c>
      <c r="O165" s="286">
        <f t="shared" si="258"/>
        <v>0</v>
      </c>
      <c r="P165" s="286">
        <f t="shared" si="258"/>
        <v>0</v>
      </c>
      <c r="Q165" s="117">
        <f t="shared" si="189"/>
        <v>0</v>
      </c>
      <c r="R165" s="117">
        <f t="shared" si="190"/>
        <v>0</v>
      </c>
      <c r="S165" s="286">
        <f t="shared" si="255"/>
        <v>0</v>
      </c>
      <c r="T165" s="286">
        <f t="shared" si="255"/>
        <v>0</v>
      </c>
      <c r="U165" s="286">
        <f t="shared" si="255"/>
        <v>0</v>
      </c>
    </row>
    <row r="166" spans="1:21" ht="17.25" customHeight="1">
      <c r="A166" s="34"/>
      <c r="B166" s="33" t="s">
        <v>144</v>
      </c>
      <c r="C166" s="12" t="s">
        <v>69</v>
      </c>
      <c r="D166" s="71">
        <f t="shared" si="255"/>
        <v>0</v>
      </c>
      <c r="E166" s="71">
        <f t="shared" ref="E166:F166" si="259">E64</f>
        <v>0</v>
      </c>
      <c r="F166" s="71">
        <f t="shared" si="259"/>
        <v>-8640.5</v>
      </c>
      <c r="G166" s="71">
        <f t="shared" si="255"/>
        <v>0</v>
      </c>
      <c r="H166" s="71">
        <f t="shared" si="255"/>
        <v>-8640.5</v>
      </c>
      <c r="I166" s="71">
        <f t="shared" si="255"/>
        <v>0</v>
      </c>
      <c r="J166" s="71">
        <f t="shared" si="255"/>
        <v>-50356</v>
      </c>
      <c r="K166" s="71">
        <f t="shared" ref="K166:L166" si="260">K64</f>
        <v>0</v>
      </c>
      <c r="L166" s="286">
        <f t="shared" si="260"/>
        <v>0</v>
      </c>
      <c r="M166" s="286">
        <f t="shared" ref="M166:P166" si="261">M64</f>
        <v>0</v>
      </c>
      <c r="N166" s="286">
        <f t="shared" si="261"/>
        <v>0</v>
      </c>
      <c r="O166" s="286">
        <f t="shared" si="261"/>
        <v>0</v>
      </c>
      <c r="P166" s="286">
        <f t="shared" si="261"/>
        <v>0</v>
      </c>
      <c r="Q166" s="117">
        <f t="shared" si="189"/>
        <v>0</v>
      </c>
      <c r="R166" s="117">
        <f t="shared" si="190"/>
        <v>0</v>
      </c>
      <c r="S166" s="286">
        <f t="shared" si="255"/>
        <v>-15883</v>
      </c>
      <c r="T166" s="286">
        <f t="shared" si="255"/>
        <v>-16556</v>
      </c>
      <c r="U166" s="286">
        <f t="shared" si="255"/>
        <v>-15270</v>
      </c>
    </row>
    <row r="167" spans="1:21" ht="15.75" customHeight="1">
      <c r="A167" s="34"/>
      <c r="B167" s="33" t="s">
        <v>71</v>
      </c>
      <c r="C167" s="12" t="s">
        <v>72</v>
      </c>
      <c r="D167" s="71"/>
      <c r="E167" s="197"/>
      <c r="F167" s="71"/>
      <c r="G167" s="71"/>
      <c r="H167" s="71"/>
      <c r="I167" s="197"/>
      <c r="J167" s="197"/>
      <c r="K167" s="197"/>
      <c r="L167" s="282"/>
      <c r="M167" s="282"/>
      <c r="N167" s="282"/>
      <c r="O167" s="282"/>
      <c r="P167" s="282"/>
      <c r="Q167" s="117">
        <f t="shared" si="189"/>
        <v>0</v>
      </c>
      <c r="R167" s="117">
        <f t="shared" si="190"/>
        <v>0</v>
      </c>
      <c r="S167" s="282"/>
      <c r="T167" s="282"/>
      <c r="U167" s="282"/>
    </row>
    <row r="168" spans="1:21" ht="16.5" customHeight="1">
      <c r="A168" s="34">
        <v>7</v>
      </c>
      <c r="B168" s="26" t="s">
        <v>73</v>
      </c>
      <c r="C168" s="12">
        <v>39.020000000000003</v>
      </c>
      <c r="D168" s="71"/>
      <c r="E168" s="197"/>
      <c r="F168" s="71"/>
      <c r="G168" s="71"/>
      <c r="H168" s="71"/>
      <c r="I168" s="197"/>
      <c r="J168" s="197"/>
      <c r="K168" s="197"/>
      <c r="L168" s="282"/>
      <c r="M168" s="282"/>
      <c r="N168" s="282"/>
      <c r="O168" s="282"/>
      <c r="P168" s="282"/>
      <c r="Q168" s="117">
        <f t="shared" si="189"/>
        <v>0</v>
      </c>
      <c r="R168" s="117">
        <f t="shared" si="190"/>
        <v>0</v>
      </c>
      <c r="S168" s="282"/>
      <c r="T168" s="282"/>
      <c r="U168" s="282"/>
    </row>
    <row r="169" spans="1:21" ht="14.25" customHeight="1">
      <c r="A169" s="34"/>
      <c r="B169" s="33" t="s">
        <v>74</v>
      </c>
      <c r="C169" s="12" t="s">
        <v>75</v>
      </c>
      <c r="D169" s="71"/>
      <c r="E169" s="197"/>
      <c r="F169" s="71"/>
      <c r="G169" s="71"/>
      <c r="H169" s="71"/>
      <c r="I169" s="197"/>
      <c r="J169" s="197"/>
      <c r="K169" s="197"/>
      <c r="L169" s="282"/>
      <c r="M169" s="282"/>
      <c r="N169" s="282"/>
      <c r="O169" s="282"/>
      <c r="P169" s="282"/>
      <c r="Q169" s="117">
        <f t="shared" si="189"/>
        <v>0</v>
      </c>
      <c r="R169" s="117">
        <f t="shared" si="190"/>
        <v>0</v>
      </c>
      <c r="S169" s="282"/>
      <c r="T169" s="282"/>
      <c r="U169" s="282"/>
    </row>
    <row r="170" spans="1:21" ht="14.25" customHeight="1">
      <c r="A170" s="34"/>
      <c r="B170" s="33" t="s">
        <v>145</v>
      </c>
      <c r="C170" s="12">
        <v>40.020000000000003</v>
      </c>
      <c r="D170" s="71"/>
      <c r="E170" s="197"/>
      <c r="F170" s="71"/>
      <c r="G170" s="71"/>
      <c r="H170" s="71"/>
      <c r="I170" s="197"/>
      <c r="J170" s="197"/>
      <c r="K170" s="197"/>
      <c r="L170" s="282"/>
      <c r="M170" s="282"/>
      <c r="N170" s="282"/>
      <c r="O170" s="282"/>
      <c r="P170" s="282"/>
      <c r="Q170" s="117">
        <f t="shared" si="189"/>
        <v>0</v>
      </c>
      <c r="R170" s="117">
        <f t="shared" si="190"/>
        <v>0</v>
      </c>
      <c r="S170" s="282"/>
      <c r="T170" s="282"/>
      <c r="U170" s="282"/>
    </row>
    <row r="171" spans="1:21" ht="17.25" customHeight="1">
      <c r="A171" s="19" t="s">
        <v>80</v>
      </c>
      <c r="B171" s="26" t="s">
        <v>81</v>
      </c>
      <c r="C171" s="12" t="s">
        <v>82</v>
      </c>
      <c r="D171" s="67">
        <f t="shared" ref="D171:U171" si="262">D172</f>
        <v>6337</v>
      </c>
      <c r="E171" s="67">
        <f t="shared" si="262"/>
        <v>8441.59</v>
      </c>
      <c r="F171" s="67">
        <f t="shared" si="262"/>
        <v>8908</v>
      </c>
      <c r="G171" s="67">
        <f t="shared" si="262"/>
        <v>6491</v>
      </c>
      <c r="H171" s="67">
        <f t="shared" si="262"/>
        <v>8908</v>
      </c>
      <c r="I171" s="67">
        <f t="shared" si="262"/>
        <v>8337</v>
      </c>
      <c r="J171" s="67">
        <f t="shared" si="262"/>
        <v>8337</v>
      </c>
      <c r="K171" s="67">
        <f t="shared" si="262"/>
        <v>2000</v>
      </c>
      <c r="L171" s="175">
        <f t="shared" si="262"/>
        <v>5634</v>
      </c>
      <c r="M171" s="175">
        <f t="shared" si="262"/>
        <v>1914</v>
      </c>
      <c r="N171" s="175">
        <f t="shared" si="262"/>
        <v>2040</v>
      </c>
      <c r="O171" s="175">
        <f t="shared" si="262"/>
        <v>1680</v>
      </c>
      <c r="P171" s="175">
        <f t="shared" si="262"/>
        <v>0</v>
      </c>
      <c r="Q171" s="117">
        <f t="shared" si="189"/>
        <v>5634</v>
      </c>
      <c r="R171" s="117">
        <f t="shared" si="190"/>
        <v>0</v>
      </c>
      <c r="S171" s="175">
        <f t="shared" si="262"/>
        <v>8000</v>
      </c>
      <c r="T171" s="175">
        <f t="shared" si="262"/>
        <v>8500</v>
      </c>
      <c r="U171" s="175">
        <f t="shared" si="262"/>
        <v>8500</v>
      </c>
    </row>
    <row r="172" spans="1:21" ht="16.5" customHeight="1">
      <c r="A172" s="34"/>
      <c r="B172" s="33" t="s">
        <v>83</v>
      </c>
      <c r="C172" s="12">
        <v>42.02</v>
      </c>
      <c r="D172" s="65">
        <f t="shared" ref="D172:U172" si="263">D176+D177+D178+D180+D181+D184</f>
        <v>6337</v>
      </c>
      <c r="E172" s="65">
        <f t="shared" ref="E172:F172" si="264">E176+E177+E178+E180+E181+E184</f>
        <v>8441.59</v>
      </c>
      <c r="F172" s="65">
        <f t="shared" si="264"/>
        <v>8908</v>
      </c>
      <c r="G172" s="65">
        <f t="shared" si="263"/>
        <v>6491</v>
      </c>
      <c r="H172" s="65">
        <f t="shared" si="263"/>
        <v>8908</v>
      </c>
      <c r="I172" s="65">
        <f t="shared" si="263"/>
        <v>8337</v>
      </c>
      <c r="J172" s="65">
        <f t="shared" si="263"/>
        <v>8337</v>
      </c>
      <c r="K172" s="65">
        <f t="shared" ref="K172:L172" si="265">K176+K177+K178+K180+K181+K184</f>
        <v>2000</v>
      </c>
      <c r="L172" s="117">
        <f t="shared" si="265"/>
        <v>5634</v>
      </c>
      <c r="M172" s="117">
        <f t="shared" ref="M172:P172" si="266">M176+M177+M178+M180+M181+M184</f>
        <v>1914</v>
      </c>
      <c r="N172" s="117">
        <f t="shared" si="266"/>
        <v>2040</v>
      </c>
      <c r="O172" s="117">
        <f t="shared" si="266"/>
        <v>1680</v>
      </c>
      <c r="P172" s="117">
        <f t="shared" si="266"/>
        <v>0</v>
      </c>
      <c r="Q172" s="117">
        <f t="shared" si="189"/>
        <v>5634</v>
      </c>
      <c r="R172" s="117">
        <f t="shared" si="190"/>
        <v>0</v>
      </c>
      <c r="S172" s="117">
        <f t="shared" si="263"/>
        <v>8000</v>
      </c>
      <c r="T172" s="117">
        <f t="shared" si="263"/>
        <v>8500</v>
      </c>
      <c r="U172" s="117">
        <f t="shared" si="263"/>
        <v>8500</v>
      </c>
    </row>
    <row r="173" spans="1:21" ht="20.25" hidden="1" customHeight="1">
      <c r="A173" s="34"/>
      <c r="B173" s="21" t="s">
        <v>84</v>
      </c>
      <c r="C173" s="12" t="s">
        <v>85</v>
      </c>
      <c r="D173" s="68"/>
      <c r="E173" s="197"/>
      <c r="F173" s="68"/>
      <c r="G173" s="68"/>
      <c r="H173" s="68"/>
      <c r="I173" s="197"/>
      <c r="J173" s="197"/>
      <c r="K173" s="197"/>
      <c r="L173" s="282"/>
      <c r="M173" s="282"/>
      <c r="N173" s="282"/>
      <c r="O173" s="282"/>
      <c r="P173" s="282"/>
      <c r="Q173" s="117">
        <f t="shared" si="189"/>
        <v>0</v>
      </c>
      <c r="R173" s="117">
        <f t="shared" si="190"/>
        <v>0</v>
      </c>
      <c r="S173" s="282"/>
      <c r="T173" s="282"/>
      <c r="U173" s="282"/>
    </row>
    <row r="174" spans="1:21" ht="19.5" hidden="1" customHeight="1">
      <c r="A174" s="34"/>
      <c r="B174" s="21" t="s">
        <v>96</v>
      </c>
      <c r="C174" s="12" t="s">
        <v>97</v>
      </c>
      <c r="D174" s="68"/>
      <c r="E174" s="197"/>
      <c r="F174" s="68"/>
      <c r="G174" s="68"/>
      <c r="H174" s="68"/>
      <c r="I174" s="197"/>
      <c r="J174" s="197"/>
      <c r="K174" s="197"/>
      <c r="L174" s="282"/>
      <c r="M174" s="282"/>
      <c r="N174" s="282"/>
      <c r="O174" s="282"/>
      <c r="P174" s="282"/>
      <c r="Q174" s="117">
        <f t="shared" si="189"/>
        <v>0</v>
      </c>
      <c r="R174" s="117">
        <f t="shared" si="190"/>
        <v>0</v>
      </c>
      <c r="S174" s="282"/>
      <c r="T174" s="282"/>
      <c r="U174" s="282"/>
    </row>
    <row r="175" spans="1:21" ht="17.25" hidden="1" customHeight="1">
      <c r="A175" s="34"/>
      <c r="B175" s="21" t="s">
        <v>98</v>
      </c>
      <c r="C175" s="12" t="s">
        <v>99</v>
      </c>
      <c r="D175" s="68"/>
      <c r="E175" s="197"/>
      <c r="F175" s="68"/>
      <c r="G175" s="68"/>
      <c r="H175" s="68"/>
      <c r="I175" s="197"/>
      <c r="J175" s="197"/>
      <c r="K175" s="197"/>
      <c r="L175" s="282"/>
      <c r="M175" s="282"/>
      <c r="N175" s="282"/>
      <c r="O175" s="282"/>
      <c r="P175" s="282"/>
      <c r="Q175" s="117">
        <f t="shared" si="189"/>
        <v>0</v>
      </c>
      <c r="R175" s="117">
        <f t="shared" si="190"/>
        <v>0</v>
      </c>
      <c r="S175" s="282"/>
      <c r="T175" s="282"/>
      <c r="U175" s="282"/>
    </row>
    <row r="176" spans="1:21" ht="16.5" customHeight="1">
      <c r="A176" s="34"/>
      <c r="B176" s="21" t="s">
        <v>100</v>
      </c>
      <c r="C176" s="12" t="s">
        <v>101</v>
      </c>
      <c r="D176" s="66">
        <f t="shared" ref="D176:U177" si="267">D84</f>
        <v>1059</v>
      </c>
      <c r="E176" s="66">
        <f t="shared" ref="E176:F176" si="268">E84</f>
        <v>735.75</v>
      </c>
      <c r="F176" s="66">
        <f t="shared" si="268"/>
        <v>967</v>
      </c>
      <c r="G176" s="66">
        <f t="shared" si="267"/>
        <v>967</v>
      </c>
      <c r="H176" s="66">
        <f t="shared" si="267"/>
        <v>967</v>
      </c>
      <c r="I176" s="66">
        <f t="shared" si="267"/>
        <v>2000</v>
      </c>
      <c r="J176" s="66">
        <f t="shared" si="267"/>
        <v>2000</v>
      </c>
      <c r="K176" s="66">
        <f t="shared" ref="K176:L176" si="269">K84</f>
        <v>2000</v>
      </c>
      <c r="L176" s="288">
        <f t="shared" si="269"/>
        <v>1610</v>
      </c>
      <c r="M176" s="288">
        <f t="shared" ref="M176:P176" si="270">M84</f>
        <v>529</v>
      </c>
      <c r="N176" s="288">
        <f t="shared" si="270"/>
        <v>540</v>
      </c>
      <c r="O176" s="288">
        <f t="shared" si="270"/>
        <v>541</v>
      </c>
      <c r="P176" s="288">
        <f t="shared" si="270"/>
        <v>0</v>
      </c>
      <c r="Q176" s="117">
        <f t="shared" si="189"/>
        <v>1610</v>
      </c>
      <c r="R176" s="117">
        <f t="shared" si="190"/>
        <v>0</v>
      </c>
      <c r="S176" s="288">
        <f t="shared" si="267"/>
        <v>2000</v>
      </c>
      <c r="T176" s="288">
        <f t="shared" si="267"/>
        <v>2000</v>
      </c>
      <c r="U176" s="288">
        <f t="shared" si="267"/>
        <v>2000</v>
      </c>
    </row>
    <row r="177" spans="1:21" ht="15" hidden="1" customHeight="1">
      <c r="A177" s="34"/>
      <c r="B177" s="21" t="s">
        <v>102</v>
      </c>
      <c r="C177" s="12" t="s">
        <v>103</v>
      </c>
      <c r="D177" s="68">
        <f t="shared" si="267"/>
        <v>0</v>
      </c>
      <c r="E177" s="68">
        <f t="shared" ref="E177:F177" si="271">E85</f>
        <v>2558</v>
      </c>
      <c r="F177" s="68">
        <f t="shared" si="271"/>
        <v>2558</v>
      </c>
      <c r="G177" s="68">
        <f t="shared" si="267"/>
        <v>0</v>
      </c>
      <c r="H177" s="68">
        <f t="shared" si="267"/>
        <v>2558</v>
      </c>
      <c r="I177" s="68">
        <f t="shared" si="267"/>
        <v>0</v>
      </c>
      <c r="J177" s="68">
        <f t="shared" si="267"/>
        <v>0</v>
      </c>
      <c r="K177" s="68">
        <f t="shared" ref="K177:L177" si="272">K85</f>
        <v>0</v>
      </c>
      <c r="L177" s="176">
        <f t="shared" si="272"/>
        <v>0</v>
      </c>
      <c r="M177" s="176">
        <f t="shared" ref="M177:P177" si="273">M85</f>
        <v>0</v>
      </c>
      <c r="N177" s="176">
        <f t="shared" si="273"/>
        <v>0</v>
      </c>
      <c r="O177" s="176">
        <f t="shared" si="273"/>
        <v>0</v>
      </c>
      <c r="P177" s="176">
        <f t="shared" si="273"/>
        <v>0</v>
      </c>
      <c r="Q177" s="117">
        <f t="shared" si="189"/>
        <v>0</v>
      </c>
      <c r="R177" s="117">
        <f t="shared" si="190"/>
        <v>0</v>
      </c>
      <c r="S177" s="176">
        <f t="shared" si="267"/>
        <v>0</v>
      </c>
      <c r="T177" s="176">
        <f t="shared" si="267"/>
        <v>0</v>
      </c>
      <c r="U177" s="176">
        <f t="shared" si="267"/>
        <v>0</v>
      </c>
    </row>
    <row r="178" spans="1:21" ht="18" customHeight="1">
      <c r="A178" s="34"/>
      <c r="B178" s="21" t="s">
        <v>146</v>
      </c>
      <c r="C178" s="12" t="s">
        <v>109</v>
      </c>
      <c r="D178" s="68">
        <f t="shared" ref="D178:U178" si="274">D88</f>
        <v>5277</v>
      </c>
      <c r="E178" s="68">
        <f t="shared" ref="E178:F178" si="275">E88</f>
        <v>5147.84</v>
      </c>
      <c r="F178" s="68">
        <f t="shared" si="275"/>
        <v>5366</v>
      </c>
      <c r="G178" s="68">
        <f t="shared" si="274"/>
        <v>5524</v>
      </c>
      <c r="H178" s="68">
        <f t="shared" si="274"/>
        <v>5366</v>
      </c>
      <c r="I178" s="68">
        <f t="shared" si="274"/>
        <v>6337</v>
      </c>
      <c r="J178" s="68">
        <f t="shared" si="274"/>
        <v>6337</v>
      </c>
      <c r="K178" s="68">
        <f t="shared" ref="K178:L178" si="276">K88</f>
        <v>0</v>
      </c>
      <c r="L178" s="176">
        <f t="shared" si="276"/>
        <v>4024</v>
      </c>
      <c r="M178" s="176">
        <f t="shared" ref="M178:P178" si="277">M88</f>
        <v>1385</v>
      </c>
      <c r="N178" s="176">
        <f t="shared" si="277"/>
        <v>1500</v>
      </c>
      <c r="O178" s="176">
        <f t="shared" si="277"/>
        <v>1139</v>
      </c>
      <c r="P178" s="176">
        <f t="shared" si="277"/>
        <v>0</v>
      </c>
      <c r="Q178" s="117">
        <f t="shared" si="189"/>
        <v>4024</v>
      </c>
      <c r="R178" s="117">
        <f t="shared" si="190"/>
        <v>0</v>
      </c>
      <c r="S178" s="176">
        <f t="shared" si="274"/>
        <v>6000</v>
      </c>
      <c r="T178" s="176">
        <f t="shared" si="274"/>
        <v>6500</v>
      </c>
      <c r="U178" s="176">
        <f t="shared" si="274"/>
        <v>6500</v>
      </c>
    </row>
    <row r="179" spans="1:21" ht="29.25" hidden="1" customHeight="1">
      <c r="A179" s="34"/>
      <c r="B179" s="21" t="s">
        <v>104</v>
      </c>
      <c r="C179" s="12" t="s">
        <v>105</v>
      </c>
      <c r="D179" s="68"/>
      <c r="E179" s="197"/>
      <c r="F179" s="68"/>
      <c r="G179" s="68"/>
      <c r="H179" s="68"/>
      <c r="I179" s="197"/>
      <c r="J179" s="197"/>
      <c r="K179" s="197"/>
      <c r="L179" s="282"/>
      <c r="M179" s="282"/>
      <c r="N179" s="282"/>
      <c r="O179" s="282"/>
      <c r="P179" s="282"/>
      <c r="Q179" s="117">
        <f t="shared" si="189"/>
        <v>0</v>
      </c>
      <c r="R179" s="117">
        <f t="shared" si="190"/>
        <v>0</v>
      </c>
      <c r="S179" s="282"/>
      <c r="T179" s="282"/>
      <c r="U179" s="282"/>
    </row>
    <row r="180" spans="1:21" ht="29.25" hidden="1" customHeight="1">
      <c r="A180" s="34"/>
      <c r="B180" s="21" t="s">
        <v>106</v>
      </c>
      <c r="C180" s="12" t="s">
        <v>107</v>
      </c>
      <c r="D180" s="68"/>
      <c r="E180" s="197"/>
      <c r="F180" s="68"/>
      <c r="G180" s="68"/>
      <c r="H180" s="68"/>
      <c r="I180" s="197"/>
      <c r="J180" s="197"/>
      <c r="K180" s="197"/>
      <c r="L180" s="282"/>
      <c r="M180" s="282"/>
      <c r="N180" s="282"/>
      <c r="O180" s="282"/>
      <c r="P180" s="282"/>
      <c r="Q180" s="117">
        <f t="shared" si="189"/>
        <v>0</v>
      </c>
      <c r="R180" s="117">
        <f t="shared" si="190"/>
        <v>0</v>
      </c>
      <c r="S180" s="282"/>
      <c r="T180" s="282"/>
      <c r="U180" s="282"/>
    </row>
    <row r="181" spans="1:21" ht="29.25" hidden="1" customHeight="1">
      <c r="A181" s="34"/>
      <c r="B181" s="21" t="s">
        <v>110</v>
      </c>
      <c r="C181" s="12" t="s">
        <v>111</v>
      </c>
      <c r="D181" s="68"/>
      <c r="E181" s="197"/>
      <c r="F181" s="68"/>
      <c r="G181" s="68"/>
      <c r="H181" s="68"/>
      <c r="I181" s="197"/>
      <c r="J181" s="197"/>
      <c r="K181" s="197"/>
      <c r="L181" s="282"/>
      <c r="M181" s="282"/>
      <c r="N181" s="282"/>
      <c r="O181" s="282"/>
      <c r="P181" s="282"/>
      <c r="Q181" s="117">
        <f t="shared" si="189"/>
        <v>0</v>
      </c>
      <c r="R181" s="117">
        <f t="shared" si="190"/>
        <v>0</v>
      </c>
      <c r="S181" s="282"/>
      <c r="T181" s="282"/>
      <c r="U181" s="282"/>
    </row>
    <row r="182" spans="1:21" ht="29.25" hidden="1" customHeight="1">
      <c r="A182" s="37"/>
      <c r="B182" s="21" t="s">
        <v>106</v>
      </c>
      <c r="C182" s="12" t="s">
        <v>107</v>
      </c>
      <c r="D182" s="68"/>
      <c r="E182" s="197"/>
      <c r="F182" s="68"/>
      <c r="G182" s="68"/>
      <c r="H182" s="68"/>
      <c r="I182" s="197"/>
      <c r="J182" s="197"/>
      <c r="K182" s="197"/>
      <c r="L182" s="282"/>
      <c r="M182" s="282"/>
      <c r="N182" s="282"/>
      <c r="O182" s="282"/>
      <c r="P182" s="282"/>
      <c r="Q182" s="117">
        <f t="shared" si="189"/>
        <v>0</v>
      </c>
      <c r="R182" s="117">
        <f t="shared" si="190"/>
        <v>0</v>
      </c>
      <c r="S182" s="282"/>
      <c r="T182" s="282"/>
      <c r="U182" s="282"/>
    </row>
    <row r="183" spans="1:21" ht="29.25" hidden="1" customHeight="1">
      <c r="A183" s="37"/>
      <c r="B183" s="38" t="s">
        <v>147</v>
      </c>
      <c r="C183" s="12" t="s">
        <v>115</v>
      </c>
      <c r="D183" s="68"/>
      <c r="E183" s="197"/>
      <c r="F183" s="68"/>
      <c r="G183" s="68"/>
      <c r="H183" s="68"/>
      <c r="I183" s="197"/>
      <c r="J183" s="197"/>
      <c r="K183" s="197"/>
      <c r="L183" s="282"/>
      <c r="M183" s="282"/>
      <c r="N183" s="282"/>
      <c r="O183" s="282"/>
      <c r="P183" s="282"/>
      <c r="Q183" s="117">
        <f t="shared" si="189"/>
        <v>0</v>
      </c>
      <c r="R183" s="117">
        <f t="shared" si="190"/>
        <v>0</v>
      </c>
      <c r="S183" s="282"/>
      <c r="T183" s="282"/>
      <c r="U183" s="282"/>
    </row>
    <row r="184" spans="1:21" ht="29.25" hidden="1" customHeight="1">
      <c r="A184" s="37"/>
      <c r="B184" s="35" t="s">
        <v>492</v>
      </c>
      <c r="C184" s="12" t="s">
        <v>519</v>
      </c>
      <c r="D184" s="66">
        <f t="shared" ref="D184:H184" si="278">D97</f>
        <v>1</v>
      </c>
      <c r="E184" s="197"/>
      <c r="F184" s="66">
        <f t="shared" ref="F184" si="279">F97</f>
        <v>17</v>
      </c>
      <c r="G184" s="66">
        <f t="shared" si="278"/>
        <v>0</v>
      </c>
      <c r="H184" s="66">
        <f t="shared" si="278"/>
        <v>17</v>
      </c>
      <c r="I184" s="197"/>
      <c r="J184" s="197"/>
      <c r="K184" s="197"/>
      <c r="L184" s="282"/>
      <c r="M184" s="282"/>
      <c r="N184" s="282"/>
      <c r="O184" s="282"/>
      <c r="P184" s="282"/>
      <c r="Q184" s="117">
        <f t="shared" si="189"/>
        <v>0</v>
      </c>
      <c r="R184" s="117">
        <f t="shared" si="190"/>
        <v>0</v>
      </c>
      <c r="S184" s="282"/>
      <c r="T184" s="282"/>
      <c r="U184" s="282"/>
    </row>
    <row r="185" spans="1:21" ht="22.5" customHeight="1">
      <c r="A185" s="102"/>
      <c r="B185" s="103" t="s">
        <v>148</v>
      </c>
      <c r="C185" s="104"/>
      <c r="D185" s="105">
        <f t="shared" ref="D185:U185" si="280">D186+D188+D190+D191+D206+D189</f>
        <v>9371</v>
      </c>
      <c r="E185" s="105">
        <f t="shared" ref="E185:F185" si="281">E186+E188+E190+E191+E206+E189</f>
        <v>42747.81</v>
      </c>
      <c r="F185" s="105">
        <f t="shared" si="281"/>
        <v>97796.34</v>
      </c>
      <c r="G185" s="105">
        <f t="shared" si="280"/>
        <v>74702</v>
      </c>
      <c r="H185" s="105">
        <f t="shared" si="280"/>
        <v>97796.34</v>
      </c>
      <c r="I185" s="105">
        <f t="shared" si="280"/>
        <v>130757.76999999999</v>
      </c>
      <c r="J185" s="105">
        <f t="shared" si="280"/>
        <v>200694</v>
      </c>
      <c r="K185" s="105">
        <f t="shared" ref="K185:L185" si="282">K186+K188+K190+K191+K206+K189</f>
        <v>113172.76999999999</v>
      </c>
      <c r="L185" s="290">
        <f t="shared" si="282"/>
        <v>135544</v>
      </c>
      <c r="M185" s="290">
        <f t="shared" ref="M185:P185" si="283">M186+M188+M190+M191+M206+M189</f>
        <v>38401</v>
      </c>
      <c r="N185" s="290">
        <f t="shared" si="283"/>
        <v>33375</v>
      </c>
      <c r="O185" s="290">
        <f t="shared" si="283"/>
        <v>32401</v>
      </c>
      <c r="P185" s="290">
        <f t="shared" si="283"/>
        <v>31367</v>
      </c>
      <c r="Q185" s="117">
        <f t="shared" si="189"/>
        <v>135544</v>
      </c>
      <c r="R185" s="117">
        <f t="shared" si="190"/>
        <v>0</v>
      </c>
      <c r="S185" s="290">
        <f t="shared" si="280"/>
        <v>215946</v>
      </c>
      <c r="T185" s="290">
        <f t="shared" si="280"/>
        <v>84948</v>
      </c>
      <c r="U185" s="290">
        <f t="shared" si="280"/>
        <v>15270</v>
      </c>
    </row>
    <row r="186" spans="1:21" ht="16.5" customHeight="1">
      <c r="A186" s="37"/>
      <c r="B186" s="21" t="s">
        <v>149</v>
      </c>
      <c r="C186" s="12" t="s">
        <v>150</v>
      </c>
      <c r="D186" s="71">
        <f t="shared" ref="D186:U186" si="284">D187</f>
        <v>0</v>
      </c>
      <c r="E186" s="71">
        <f t="shared" si="284"/>
        <v>0</v>
      </c>
      <c r="F186" s="71">
        <f t="shared" si="284"/>
        <v>8640.5</v>
      </c>
      <c r="G186" s="71">
        <f t="shared" si="284"/>
        <v>0</v>
      </c>
      <c r="H186" s="71">
        <f t="shared" si="284"/>
        <v>8640.5</v>
      </c>
      <c r="I186" s="71">
        <f t="shared" si="284"/>
        <v>0</v>
      </c>
      <c r="J186" s="71">
        <f t="shared" si="284"/>
        <v>50356</v>
      </c>
      <c r="K186" s="71">
        <f t="shared" si="284"/>
        <v>0</v>
      </c>
      <c r="L186" s="286">
        <f t="shared" si="284"/>
        <v>0</v>
      </c>
      <c r="M186" s="286">
        <f t="shared" si="284"/>
        <v>0</v>
      </c>
      <c r="N186" s="286">
        <f t="shared" si="284"/>
        <v>0</v>
      </c>
      <c r="O186" s="286">
        <f t="shared" si="284"/>
        <v>0</v>
      </c>
      <c r="P186" s="286">
        <f t="shared" si="284"/>
        <v>0</v>
      </c>
      <c r="Q186" s="117">
        <f t="shared" si="189"/>
        <v>0</v>
      </c>
      <c r="R186" s="117">
        <f t="shared" si="190"/>
        <v>0</v>
      </c>
      <c r="S186" s="286">
        <f t="shared" si="284"/>
        <v>15883</v>
      </c>
      <c r="T186" s="286">
        <f t="shared" si="284"/>
        <v>16556</v>
      </c>
      <c r="U186" s="286">
        <f t="shared" si="284"/>
        <v>15270</v>
      </c>
    </row>
    <row r="187" spans="1:21" ht="18.75" customHeight="1">
      <c r="A187" s="37"/>
      <c r="B187" s="21" t="s">
        <v>144</v>
      </c>
      <c r="C187" s="12" t="s">
        <v>70</v>
      </c>
      <c r="D187" s="74">
        <f t="shared" ref="D187:U187" si="285">-D166</f>
        <v>0</v>
      </c>
      <c r="E187" s="74">
        <f t="shared" ref="E187:F187" si="286">-E166</f>
        <v>0</v>
      </c>
      <c r="F187" s="74">
        <f t="shared" si="286"/>
        <v>8640.5</v>
      </c>
      <c r="G187" s="74">
        <f t="shared" si="285"/>
        <v>0</v>
      </c>
      <c r="H187" s="74">
        <f t="shared" si="285"/>
        <v>8640.5</v>
      </c>
      <c r="I187" s="74">
        <f t="shared" si="285"/>
        <v>0</v>
      </c>
      <c r="J187" s="74">
        <f t="shared" si="285"/>
        <v>50356</v>
      </c>
      <c r="K187" s="74">
        <f t="shared" ref="K187:L187" si="287">-K166</f>
        <v>0</v>
      </c>
      <c r="L187" s="291">
        <f t="shared" si="287"/>
        <v>0</v>
      </c>
      <c r="M187" s="291">
        <f t="shared" ref="M187:P187" si="288">-M166</f>
        <v>0</v>
      </c>
      <c r="N187" s="291">
        <f t="shared" si="288"/>
        <v>0</v>
      </c>
      <c r="O187" s="291">
        <f t="shared" si="288"/>
        <v>0</v>
      </c>
      <c r="P187" s="291">
        <f t="shared" si="288"/>
        <v>0</v>
      </c>
      <c r="Q187" s="117">
        <f t="shared" si="189"/>
        <v>0</v>
      </c>
      <c r="R187" s="117">
        <f t="shared" si="190"/>
        <v>0</v>
      </c>
      <c r="S187" s="291">
        <f t="shared" si="285"/>
        <v>15883</v>
      </c>
      <c r="T187" s="291">
        <f t="shared" si="285"/>
        <v>16556</v>
      </c>
      <c r="U187" s="291">
        <f t="shared" si="285"/>
        <v>15270</v>
      </c>
    </row>
    <row r="188" spans="1:21" ht="0.75" hidden="1" customHeight="1">
      <c r="A188" s="37"/>
      <c r="B188" s="33" t="s">
        <v>74</v>
      </c>
      <c r="C188" s="12" t="s">
        <v>75</v>
      </c>
      <c r="D188" s="68"/>
      <c r="E188" s="197"/>
      <c r="F188" s="68"/>
      <c r="G188" s="68"/>
      <c r="H188" s="68"/>
      <c r="I188" s="197"/>
      <c r="J188" s="197"/>
      <c r="K188" s="197"/>
      <c r="L188" s="282"/>
      <c r="M188" s="282"/>
      <c r="N188" s="282"/>
      <c r="O188" s="282"/>
      <c r="P188" s="282"/>
      <c r="Q188" s="117">
        <f t="shared" si="189"/>
        <v>0</v>
      </c>
      <c r="R188" s="117">
        <f t="shared" si="190"/>
        <v>0</v>
      </c>
      <c r="S188" s="282"/>
      <c r="T188" s="282"/>
      <c r="U188" s="282"/>
    </row>
    <row r="189" spans="1:21" ht="28.5" hidden="1" customHeight="1">
      <c r="A189" s="37"/>
      <c r="B189" s="33" t="s">
        <v>76</v>
      </c>
      <c r="C189" s="12" t="s">
        <v>77</v>
      </c>
      <c r="D189" s="68"/>
      <c r="E189" s="197"/>
      <c r="F189" s="68"/>
      <c r="G189" s="68"/>
      <c r="H189" s="68"/>
      <c r="I189" s="197"/>
      <c r="J189" s="197"/>
      <c r="K189" s="197"/>
      <c r="L189" s="282"/>
      <c r="M189" s="282"/>
      <c r="N189" s="282"/>
      <c r="O189" s="282"/>
      <c r="P189" s="282"/>
      <c r="Q189" s="117">
        <f t="shared" si="189"/>
        <v>0</v>
      </c>
      <c r="R189" s="117">
        <f t="shared" si="190"/>
        <v>0</v>
      </c>
      <c r="S189" s="282"/>
      <c r="T189" s="282"/>
      <c r="U189" s="282"/>
    </row>
    <row r="190" spans="1:21" ht="13.5" hidden="1" customHeight="1">
      <c r="A190" s="37"/>
      <c r="B190" s="33" t="s">
        <v>145</v>
      </c>
      <c r="C190" s="12">
        <v>40.020000000000003</v>
      </c>
      <c r="D190" s="68">
        <v>0</v>
      </c>
      <c r="E190" s="197"/>
      <c r="F190" s="68">
        <v>0</v>
      </c>
      <c r="G190" s="68">
        <v>0</v>
      </c>
      <c r="H190" s="68">
        <v>0</v>
      </c>
      <c r="I190" s="197"/>
      <c r="J190" s="197"/>
      <c r="K190" s="197"/>
      <c r="L190" s="282"/>
      <c r="M190" s="282"/>
      <c r="N190" s="282"/>
      <c r="O190" s="282"/>
      <c r="P190" s="282"/>
      <c r="Q190" s="117">
        <f t="shared" si="189"/>
        <v>0</v>
      </c>
      <c r="R190" s="117">
        <f t="shared" si="190"/>
        <v>0</v>
      </c>
      <c r="S190" s="282"/>
      <c r="T190" s="282"/>
      <c r="U190" s="282"/>
    </row>
    <row r="191" spans="1:21" ht="21" customHeight="1">
      <c r="A191" s="37"/>
      <c r="B191" s="26" t="s">
        <v>81</v>
      </c>
      <c r="C191" s="12" t="s">
        <v>151</v>
      </c>
      <c r="D191" s="71">
        <f t="shared" ref="D191:U191" si="289">D192+D193+D194+D195+D196+D199+D200+D201+D202</f>
        <v>8649</v>
      </c>
      <c r="E191" s="71">
        <f t="shared" ref="E191:F191" si="290">E192+E193+E194+E195+E196+E199+E200+E201+E202</f>
        <v>26184.269999999997</v>
      </c>
      <c r="F191" s="71">
        <f t="shared" si="290"/>
        <v>38571.839999999997</v>
      </c>
      <c r="G191" s="71">
        <f t="shared" si="289"/>
        <v>24130</v>
      </c>
      <c r="H191" s="71">
        <f t="shared" si="289"/>
        <v>38571.839999999997</v>
      </c>
      <c r="I191" s="71">
        <f t="shared" si="289"/>
        <v>30933.91</v>
      </c>
      <c r="J191" s="71">
        <f t="shared" si="289"/>
        <v>50513</v>
      </c>
      <c r="K191" s="71">
        <f t="shared" ref="K191:L191" si="291">K192+K193+K194+K195+K196+K199+K200+K201+K202</f>
        <v>16113.91</v>
      </c>
      <c r="L191" s="286">
        <f t="shared" si="291"/>
        <v>48549</v>
      </c>
      <c r="M191" s="286">
        <f t="shared" ref="M191:P191" si="292">M192+M193+M194+M195+M196+M199+M200+M201+M202</f>
        <v>16650</v>
      </c>
      <c r="N191" s="286">
        <f t="shared" si="292"/>
        <v>11624</v>
      </c>
      <c r="O191" s="286">
        <f t="shared" si="292"/>
        <v>10650</v>
      </c>
      <c r="P191" s="286">
        <f t="shared" si="292"/>
        <v>9625</v>
      </c>
      <c r="Q191" s="117">
        <f t="shared" si="189"/>
        <v>48549</v>
      </c>
      <c r="R191" s="117">
        <f t="shared" si="190"/>
        <v>0</v>
      </c>
      <c r="S191" s="286">
        <f t="shared" si="289"/>
        <v>84233</v>
      </c>
      <c r="T191" s="286">
        <f t="shared" si="289"/>
        <v>10032</v>
      </c>
      <c r="U191" s="286">
        <f t="shared" si="289"/>
        <v>0</v>
      </c>
    </row>
    <row r="192" spans="1:21" ht="21" hidden="1" customHeight="1">
      <c r="A192" s="37"/>
      <c r="B192" s="21" t="s">
        <v>84</v>
      </c>
      <c r="C192" s="12" t="s">
        <v>85</v>
      </c>
      <c r="D192" s="68"/>
      <c r="E192" s="197"/>
      <c r="F192" s="68"/>
      <c r="G192" s="68"/>
      <c r="H192" s="68"/>
      <c r="I192" s="197"/>
      <c r="J192" s="197"/>
      <c r="K192" s="197"/>
      <c r="L192" s="282"/>
      <c r="M192" s="282"/>
      <c r="N192" s="282"/>
      <c r="O192" s="282"/>
      <c r="P192" s="282"/>
      <c r="Q192" s="117">
        <f t="shared" si="189"/>
        <v>0</v>
      </c>
      <c r="R192" s="117">
        <f t="shared" si="190"/>
        <v>0</v>
      </c>
      <c r="S192" s="282"/>
      <c r="T192" s="282"/>
      <c r="U192" s="282"/>
    </row>
    <row r="193" spans="1:21" ht="21" hidden="1" customHeight="1">
      <c r="A193" s="37"/>
      <c r="B193" s="21" t="s">
        <v>88</v>
      </c>
      <c r="C193" s="12" t="s">
        <v>89</v>
      </c>
      <c r="D193" s="68">
        <v>5536</v>
      </c>
      <c r="E193" s="68">
        <f t="shared" ref="E193" si="293">E78</f>
        <v>2857</v>
      </c>
      <c r="F193" s="68">
        <f>F78</f>
        <v>3822</v>
      </c>
      <c r="G193" s="68">
        <f>G78</f>
        <v>0</v>
      </c>
      <c r="H193" s="68">
        <f>H78</f>
        <v>3822</v>
      </c>
      <c r="I193" s="68">
        <f t="shared" ref="I193:U193" si="294">I78</f>
        <v>0</v>
      </c>
      <c r="J193" s="68">
        <f t="shared" si="294"/>
        <v>0</v>
      </c>
      <c r="K193" s="68">
        <f t="shared" ref="K193:L193" si="295">K78</f>
        <v>0</v>
      </c>
      <c r="L193" s="176">
        <f t="shared" si="295"/>
        <v>0</v>
      </c>
      <c r="M193" s="176">
        <f t="shared" ref="M193:P193" si="296">M78</f>
        <v>0</v>
      </c>
      <c r="N193" s="176">
        <f t="shared" si="296"/>
        <v>0</v>
      </c>
      <c r="O193" s="176">
        <f t="shared" si="296"/>
        <v>0</v>
      </c>
      <c r="P193" s="176">
        <f t="shared" si="296"/>
        <v>0</v>
      </c>
      <c r="Q193" s="117">
        <f t="shared" si="189"/>
        <v>0</v>
      </c>
      <c r="R193" s="117">
        <f t="shared" si="190"/>
        <v>0</v>
      </c>
      <c r="S193" s="176">
        <f t="shared" si="294"/>
        <v>0</v>
      </c>
      <c r="T193" s="176">
        <f t="shared" si="294"/>
        <v>0</v>
      </c>
      <c r="U193" s="176">
        <f t="shared" si="294"/>
        <v>0</v>
      </c>
    </row>
    <row r="194" spans="1:21" ht="21" hidden="1" customHeight="1">
      <c r="A194" s="37"/>
      <c r="B194" s="21" t="s">
        <v>90</v>
      </c>
      <c r="C194" s="12" t="s">
        <v>91</v>
      </c>
      <c r="D194" s="68"/>
      <c r="E194" s="197"/>
      <c r="F194" s="68"/>
      <c r="G194" s="68"/>
      <c r="H194" s="68"/>
      <c r="I194" s="197"/>
      <c r="J194" s="197"/>
      <c r="K194" s="197"/>
      <c r="L194" s="282"/>
      <c r="M194" s="282"/>
      <c r="N194" s="282"/>
      <c r="O194" s="282"/>
      <c r="P194" s="282"/>
      <c r="Q194" s="117">
        <f t="shared" si="189"/>
        <v>0</v>
      </c>
      <c r="R194" s="117">
        <f t="shared" si="190"/>
        <v>0</v>
      </c>
      <c r="S194" s="282"/>
      <c r="T194" s="282"/>
      <c r="U194" s="282"/>
    </row>
    <row r="195" spans="1:21" ht="23.25" hidden="1" customHeight="1">
      <c r="A195" s="37"/>
      <c r="B195" s="35" t="s">
        <v>94</v>
      </c>
      <c r="C195" s="12" t="s">
        <v>95</v>
      </c>
      <c r="D195" s="68"/>
      <c r="E195" s="197"/>
      <c r="F195" s="68"/>
      <c r="G195" s="68"/>
      <c r="H195" s="68"/>
      <c r="I195" s="197"/>
      <c r="J195" s="197"/>
      <c r="K195" s="197"/>
      <c r="L195" s="282"/>
      <c r="M195" s="282"/>
      <c r="N195" s="282"/>
      <c r="O195" s="282"/>
      <c r="P195" s="282"/>
      <c r="Q195" s="117">
        <f t="shared" si="189"/>
        <v>0</v>
      </c>
      <c r="R195" s="117">
        <f t="shared" si="190"/>
        <v>0</v>
      </c>
      <c r="S195" s="282"/>
      <c r="T195" s="282"/>
      <c r="U195" s="282"/>
    </row>
    <row r="196" spans="1:21" ht="24" hidden="1" customHeight="1">
      <c r="A196" s="37"/>
      <c r="B196" s="21" t="s">
        <v>152</v>
      </c>
      <c r="C196" s="12" t="s">
        <v>99</v>
      </c>
      <c r="D196" s="68">
        <f t="shared" ref="D196:U196" si="297">D83</f>
        <v>0</v>
      </c>
      <c r="E196" s="68">
        <f t="shared" ref="E196:F196" si="298">E83</f>
        <v>0</v>
      </c>
      <c r="F196" s="68">
        <f t="shared" si="298"/>
        <v>0</v>
      </c>
      <c r="G196" s="68">
        <f t="shared" si="297"/>
        <v>0</v>
      </c>
      <c r="H196" s="68">
        <f t="shared" si="297"/>
        <v>0</v>
      </c>
      <c r="I196" s="68">
        <f t="shared" si="297"/>
        <v>0</v>
      </c>
      <c r="J196" s="68">
        <f t="shared" si="297"/>
        <v>0</v>
      </c>
      <c r="K196" s="68">
        <f t="shared" ref="K196:L196" si="299">K83</f>
        <v>0</v>
      </c>
      <c r="L196" s="176">
        <f t="shared" si="299"/>
        <v>0</v>
      </c>
      <c r="M196" s="176">
        <f t="shared" ref="M196:P196" si="300">M83</f>
        <v>0</v>
      </c>
      <c r="N196" s="176">
        <f t="shared" si="300"/>
        <v>0</v>
      </c>
      <c r="O196" s="176">
        <f t="shared" si="300"/>
        <v>0</v>
      </c>
      <c r="P196" s="176">
        <f t="shared" si="300"/>
        <v>0</v>
      </c>
      <c r="Q196" s="117">
        <f t="shared" si="189"/>
        <v>0</v>
      </c>
      <c r="R196" s="117">
        <f t="shared" si="190"/>
        <v>0</v>
      </c>
      <c r="S196" s="176">
        <f t="shared" si="297"/>
        <v>0</v>
      </c>
      <c r="T196" s="176">
        <f t="shared" si="297"/>
        <v>0</v>
      </c>
      <c r="U196" s="176">
        <f t="shared" si="297"/>
        <v>0</v>
      </c>
    </row>
    <row r="197" spans="1:21" ht="1.5" hidden="1" customHeight="1">
      <c r="A197" s="37"/>
      <c r="B197" s="21" t="s">
        <v>106</v>
      </c>
      <c r="C197" s="12" t="s">
        <v>107</v>
      </c>
      <c r="D197" s="68"/>
      <c r="E197" s="197"/>
      <c r="F197" s="68"/>
      <c r="G197" s="68"/>
      <c r="H197" s="68"/>
      <c r="I197" s="197"/>
      <c r="J197" s="197"/>
      <c r="K197" s="197"/>
      <c r="L197" s="282"/>
      <c r="M197" s="282"/>
      <c r="N197" s="282"/>
      <c r="O197" s="282"/>
      <c r="P197" s="282"/>
      <c r="Q197" s="117">
        <f t="shared" si="189"/>
        <v>0</v>
      </c>
      <c r="R197" s="117">
        <f t="shared" si="190"/>
        <v>0</v>
      </c>
      <c r="S197" s="282"/>
      <c r="T197" s="282"/>
      <c r="U197" s="282"/>
    </row>
    <row r="198" spans="1:21" ht="24" hidden="1" customHeight="1">
      <c r="A198" s="37"/>
      <c r="B198" s="21" t="s">
        <v>112</v>
      </c>
      <c r="C198" s="12" t="s">
        <v>113</v>
      </c>
      <c r="D198" s="68"/>
      <c r="E198" s="197"/>
      <c r="F198" s="68"/>
      <c r="G198" s="68"/>
      <c r="H198" s="68"/>
      <c r="I198" s="197"/>
      <c r="J198" s="197"/>
      <c r="K198" s="197"/>
      <c r="L198" s="282"/>
      <c r="M198" s="282"/>
      <c r="N198" s="282"/>
      <c r="O198" s="282"/>
      <c r="P198" s="282"/>
      <c r="Q198" s="117">
        <f t="shared" si="189"/>
        <v>0</v>
      </c>
      <c r="R198" s="117">
        <f t="shared" si="190"/>
        <v>0</v>
      </c>
      <c r="S198" s="282"/>
      <c r="T198" s="282"/>
      <c r="U198" s="282"/>
    </row>
    <row r="199" spans="1:21" ht="27" hidden="1" customHeight="1">
      <c r="A199" s="37"/>
      <c r="B199" s="35" t="s">
        <v>116</v>
      </c>
      <c r="C199" s="12" t="s">
        <v>117</v>
      </c>
      <c r="D199" s="68">
        <f t="shared" ref="D199:U199" si="301">D92</f>
        <v>0</v>
      </c>
      <c r="E199" s="68">
        <f t="shared" ref="E199:F199" si="302">E92</f>
        <v>0</v>
      </c>
      <c r="F199" s="68">
        <f t="shared" si="302"/>
        <v>0</v>
      </c>
      <c r="G199" s="68">
        <f t="shared" si="301"/>
        <v>0</v>
      </c>
      <c r="H199" s="68">
        <f t="shared" si="301"/>
        <v>0</v>
      </c>
      <c r="I199" s="68">
        <f t="shared" si="301"/>
        <v>0</v>
      </c>
      <c r="J199" s="68">
        <f t="shared" si="301"/>
        <v>0</v>
      </c>
      <c r="K199" s="68">
        <f t="shared" ref="K199:L199" si="303">K92</f>
        <v>0</v>
      </c>
      <c r="L199" s="176">
        <f t="shared" si="303"/>
        <v>0</v>
      </c>
      <c r="M199" s="176">
        <f t="shared" ref="M199:P199" si="304">M92</f>
        <v>0</v>
      </c>
      <c r="N199" s="176">
        <f t="shared" si="304"/>
        <v>0</v>
      </c>
      <c r="O199" s="176">
        <f t="shared" si="304"/>
        <v>0</v>
      </c>
      <c r="P199" s="176">
        <f t="shared" si="304"/>
        <v>0</v>
      </c>
      <c r="Q199" s="117">
        <f t="shared" si="189"/>
        <v>0</v>
      </c>
      <c r="R199" s="117">
        <f t="shared" si="190"/>
        <v>0</v>
      </c>
      <c r="S199" s="176">
        <f t="shared" si="301"/>
        <v>0</v>
      </c>
      <c r="T199" s="176">
        <f t="shared" si="301"/>
        <v>0</v>
      </c>
      <c r="U199" s="176">
        <f t="shared" si="301"/>
        <v>0</v>
      </c>
    </row>
    <row r="200" spans="1:21" ht="18.75" hidden="1" customHeight="1">
      <c r="A200" s="37"/>
      <c r="B200" s="35" t="s">
        <v>118</v>
      </c>
      <c r="C200" s="12" t="s">
        <v>119</v>
      </c>
      <c r="D200" s="68"/>
      <c r="E200" s="197"/>
      <c r="F200" s="68"/>
      <c r="G200" s="68"/>
      <c r="H200" s="68"/>
      <c r="I200" s="197"/>
      <c r="J200" s="197"/>
      <c r="K200" s="197"/>
      <c r="L200" s="282"/>
      <c r="M200" s="282"/>
      <c r="N200" s="282"/>
      <c r="O200" s="282"/>
      <c r="P200" s="282"/>
      <c r="Q200" s="117">
        <f t="shared" si="189"/>
        <v>0</v>
      </c>
      <c r="R200" s="117">
        <f t="shared" si="190"/>
        <v>0</v>
      </c>
      <c r="S200" s="282"/>
      <c r="T200" s="282"/>
      <c r="U200" s="282"/>
    </row>
    <row r="201" spans="1:21" ht="16.5" customHeight="1">
      <c r="A201" s="37"/>
      <c r="B201" s="158" t="s">
        <v>122</v>
      </c>
      <c r="C201" s="12" t="s">
        <v>123</v>
      </c>
      <c r="D201" s="68">
        <f t="shared" ref="D201:U203" si="305">D95</f>
        <v>2145</v>
      </c>
      <c r="E201" s="68">
        <f t="shared" ref="E201:F201" si="306">E95</f>
        <v>20801.919999999998</v>
      </c>
      <c r="F201" s="68">
        <f t="shared" si="306"/>
        <v>26613.84</v>
      </c>
      <c r="G201" s="68">
        <f t="shared" si="305"/>
        <v>16000</v>
      </c>
      <c r="H201" s="68">
        <f t="shared" si="305"/>
        <v>26613.84</v>
      </c>
      <c r="I201" s="68">
        <f t="shared" si="305"/>
        <v>13974</v>
      </c>
      <c r="J201" s="68">
        <f t="shared" si="305"/>
        <v>33974</v>
      </c>
      <c r="K201" s="68">
        <f t="shared" ref="K201:L201" si="307">K95</f>
        <v>0</v>
      </c>
      <c r="L201" s="176">
        <f t="shared" si="307"/>
        <v>33974</v>
      </c>
      <c r="M201" s="176">
        <f t="shared" ref="M201:P201" si="308">M95</f>
        <v>13000</v>
      </c>
      <c r="N201" s="176">
        <f t="shared" si="308"/>
        <v>7974</v>
      </c>
      <c r="O201" s="176">
        <f t="shared" si="308"/>
        <v>7000</v>
      </c>
      <c r="P201" s="176">
        <f t="shared" si="308"/>
        <v>6000</v>
      </c>
      <c r="Q201" s="117">
        <f t="shared" si="189"/>
        <v>33974</v>
      </c>
      <c r="R201" s="117">
        <f t="shared" si="190"/>
        <v>0</v>
      </c>
      <c r="S201" s="176">
        <f t="shared" si="305"/>
        <v>61823</v>
      </c>
      <c r="T201" s="176">
        <f t="shared" si="305"/>
        <v>0</v>
      </c>
      <c r="U201" s="176">
        <f t="shared" si="305"/>
        <v>0</v>
      </c>
    </row>
    <row r="202" spans="1:21" ht="30.75" customHeight="1">
      <c r="A202" s="37"/>
      <c r="B202" s="35" t="s">
        <v>487</v>
      </c>
      <c r="C202" s="97" t="s">
        <v>488</v>
      </c>
      <c r="D202" s="66">
        <f t="shared" si="305"/>
        <v>968</v>
      </c>
      <c r="E202" s="66">
        <f t="shared" ref="E202:F202" si="309">E96</f>
        <v>2525.35</v>
      </c>
      <c r="F202" s="66">
        <f t="shared" si="309"/>
        <v>8136</v>
      </c>
      <c r="G202" s="66">
        <f t="shared" si="305"/>
        <v>8130</v>
      </c>
      <c r="H202" s="66">
        <f t="shared" si="305"/>
        <v>8136</v>
      </c>
      <c r="I202" s="66">
        <f>I96+I1128</f>
        <v>16959.91</v>
      </c>
      <c r="J202" s="66">
        <f t="shared" si="305"/>
        <v>16539</v>
      </c>
      <c r="K202" s="66">
        <f>K96+K1128</f>
        <v>16113.91</v>
      </c>
      <c r="L202" s="288">
        <f t="shared" ref="L202:M202" si="310">L96</f>
        <v>14575</v>
      </c>
      <c r="M202" s="288">
        <f t="shared" si="310"/>
        <v>3650</v>
      </c>
      <c r="N202" s="288">
        <f t="shared" ref="N202:P202" si="311">N96</f>
        <v>3650</v>
      </c>
      <c r="O202" s="288">
        <f t="shared" si="311"/>
        <v>3650</v>
      </c>
      <c r="P202" s="288">
        <f t="shared" si="311"/>
        <v>3625</v>
      </c>
      <c r="Q202" s="117">
        <f t="shared" si="189"/>
        <v>14575</v>
      </c>
      <c r="R202" s="117">
        <f t="shared" si="190"/>
        <v>0</v>
      </c>
      <c r="S202" s="288">
        <f t="shared" si="305"/>
        <v>22410</v>
      </c>
      <c r="T202" s="288">
        <f t="shared" si="305"/>
        <v>10032</v>
      </c>
      <c r="U202" s="288">
        <f t="shared" si="305"/>
        <v>0</v>
      </c>
    </row>
    <row r="203" spans="1:21" ht="0.75" customHeight="1">
      <c r="A203" s="37"/>
      <c r="B203" s="35" t="s">
        <v>492</v>
      </c>
      <c r="C203" s="97" t="s">
        <v>493</v>
      </c>
      <c r="D203" s="66"/>
      <c r="E203" s="197"/>
      <c r="F203" s="66">
        <f t="shared" ref="F203" si="312">F97</f>
        <v>17</v>
      </c>
      <c r="G203" s="66">
        <f t="shared" si="305"/>
        <v>0</v>
      </c>
      <c r="H203" s="66">
        <f t="shared" si="305"/>
        <v>17</v>
      </c>
      <c r="I203" s="197"/>
      <c r="J203" s="197"/>
      <c r="K203" s="197"/>
      <c r="L203" s="282"/>
      <c r="M203" s="282"/>
      <c r="N203" s="282"/>
      <c r="O203" s="282"/>
      <c r="P203" s="282"/>
      <c r="Q203" s="117">
        <f t="shared" si="189"/>
        <v>0</v>
      </c>
      <c r="R203" s="117">
        <f t="shared" si="190"/>
        <v>0</v>
      </c>
      <c r="S203" s="282"/>
      <c r="T203" s="282"/>
      <c r="U203" s="282"/>
    </row>
    <row r="204" spans="1:21" ht="27" hidden="1" customHeight="1">
      <c r="A204" s="37"/>
      <c r="B204" s="20" t="s">
        <v>554</v>
      </c>
      <c r="C204" s="152">
        <v>46.02</v>
      </c>
      <c r="D204" s="66"/>
      <c r="E204" s="197"/>
      <c r="F204" s="66"/>
      <c r="G204" s="66"/>
      <c r="H204" s="66"/>
      <c r="I204" s="197"/>
      <c r="J204" s="197"/>
      <c r="K204" s="197"/>
      <c r="L204" s="282"/>
      <c r="M204" s="282"/>
      <c r="N204" s="282"/>
      <c r="O204" s="282"/>
      <c r="P204" s="282"/>
      <c r="Q204" s="117">
        <f t="shared" si="189"/>
        <v>0</v>
      </c>
      <c r="R204" s="117">
        <f t="shared" si="190"/>
        <v>0</v>
      </c>
      <c r="S204" s="282"/>
      <c r="T204" s="282"/>
      <c r="U204" s="282"/>
    </row>
    <row r="205" spans="1:21" ht="41.25" hidden="1" customHeight="1">
      <c r="A205" s="37"/>
      <c r="B205" s="35" t="s">
        <v>555</v>
      </c>
      <c r="C205" s="97" t="s">
        <v>556</v>
      </c>
      <c r="D205" s="66"/>
      <c r="E205" s="197"/>
      <c r="F205" s="66"/>
      <c r="G205" s="66"/>
      <c r="H205" s="66"/>
      <c r="I205" s="197"/>
      <c r="J205" s="197"/>
      <c r="K205" s="197"/>
      <c r="L205" s="282"/>
      <c r="M205" s="282"/>
      <c r="N205" s="282"/>
      <c r="O205" s="282"/>
      <c r="P205" s="282"/>
      <c r="Q205" s="117">
        <f t="shared" ref="Q205:Q268" si="313">M205+N205+O205+P205</f>
        <v>0</v>
      </c>
      <c r="R205" s="117">
        <f t="shared" ref="R205:R268" si="314">L205-Q205</f>
        <v>0</v>
      </c>
      <c r="S205" s="282"/>
      <c r="T205" s="282"/>
      <c r="U205" s="282"/>
    </row>
    <row r="206" spans="1:21" ht="42.75" customHeight="1">
      <c r="A206" s="34"/>
      <c r="B206" s="20" t="s">
        <v>439</v>
      </c>
      <c r="C206" s="15" t="s">
        <v>444</v>
      </c>
      <c r="D206" s="68">
        <f t="shared" ref="D206:U207" si="315">D100</f>
        <v>722</v>
      </c>
      <c r="E206" s="68">
        <f t="shared" ref="E206:F206" si="316">E100</f>
        <v>16563.540000000005</v>
      </c>
      <c r="F206" s="68">
        <f t="shared" si="316"/>
        <v>50584</v>
      </c>
      <c r="G206" s="68">
        <f t="shared" si="315"/>
        <v>50572</v>
      </c>
      <c r="H206" s="68">
        <f t="shared" si="315"/>
        <v>50584</v>
      </c>
      <c r="I206" s="68">
        <f t="shared" si="315"/>
        <v>99823.859999999986</v>
      </c>
      <c r="J206" s="68">
        <f t="shared" si="315"/>
        <v>99825</v>
      </c>
      <c r="K206" s="68">
        <f t="shared" ref="K206:L206" si="317">K100</f>
        <v>97058.859999999986</v>
      </c>
      <c r="L206" s="176">
        <f t="shared" si="317"/>
        <v>86995</v>
      </c>
      <c r="M206" s="176">
        <f t="shared" ref="M206:P206" si="318">M100</f>
        <v>21751</v>
      </c>
      <c r="N206" s="176">
        <f t="shared" si="318"/>
        <v>21751</v>
      </c>
      <c r="O206" s="176">
        <f t="shared" si="318"/>
        <v>21751</v>
      </c>
      <c r="P206" s="176">
        <f t="shared" si="318"/>
        <v>21742</v>
      </c>
      <c r="Q206" s="117">
        <f t="shared" si="313"/>
        <v>86995</v>
      </c>
      <c r="R206" s="117">
        <f t="shared" si="314"/>
        <v>0</v>
      </c>
      <c r="S206" s="176">
        <f t="shared" si="315"/>
        <v>115830</v>
      </c>
      <c r="T206" s="176">
        <f t="shared" si="315"/>
        <v>58360</v>
      </c>
      <c r="U206" s="176">
        <f t="shared" si="315"/>
        <v>0</v>
      </c>
    </row>
    <row r="207" spans="1:21" ht="16.5" customHeight="1">
      <c r="A207" s="39"/>
      <c r="B207" s="135" t="s">
        <v>529</v>
      </c>
      <c r="C207" s="85" t="s">
        <v>443</v>
      </c>
      <c r="D207" s="66">
        <f t="shared" si="315"/>
        <v>370</v>
      </c>
      <c r="E207" s="66">
        <f t="shared" ref="E207:F207" si="319">E101</f>
        <v>15117.980000000003</v>
      </c>
      <c r="F207" s="66">
        <f t="shared" si="319"/>
        <v>48430</v>
      </c>
      <c r="G207" s="66">
        <f t="shared" ref="G207" si="320">G101</f>
        <v>48418</v>
      </c>
      <c r="H207" s="66">
        <f t="shared" si="315"/>
        <v>48430</v>
      </c>
      <c r="I207" s="66">
        <f t="shared" si="315"/>
        <v>93093.859999999986</v>
      </c>
      <c r="J207" s="66">
        <f t="shared" si="315"/>
        <v>93095</v>
      </c>
      <c r="K207" s="66">
        <f t="shared" ref="K207:L207" si="321">K101</f>
        <v>93093.859999999986</v>
      </c>
      <c r="L207" s="288">
        <f t="shared" si="321"/>
        <v>83030</v>
      </c>
      <c r="M207" s="288">
        <f t="shared" ref="M207:P207" si="322">M101</f>
        <v>20759</v>
      </c>
      <c r="N207" s="288">
        <f t="shared" si="322"/>
        <v>20759</v>
      </c>
      <c r="O207" s="288">
        <f t="shared" si="322"/>
        <v>20759</v>
      </c>
      <c r="P207" s="288">
        <f t="shared" si="322"/>
        <v>20753</v>
      </c>
      <c r="Q207" s="117">
        <f t="shared" si="313"/>
        <v>83030</v>
      </c>
      <c r="R207" s="117">
        <f t="shared" si="314"/>
        <v>0</v>
      </c>
      <c r="S207" s="288">
        <f t="shared" si="315"/>
        <v>113031</v>
      </c>
      <c r="T207" s="288">
        <f t="shared" si="315"/>
        <v>55312</v>
      </c>
      <c r="U207" s="288">
        <f t="shared" si="315"/>
        <v>0</v>
      </c>
    </row>
    <row r="208" spans="1:21" ht="33" customHeight="1">
      <c r="A208" s="34"/>
      <c r="B208" s="35" t="s">
        <v>130</v>
      </c>
      <c r="C208" s="12" t="s">
        <v>440</v>
      </c>
      <c r="D208" s="68">
        <f t="shared" ref="D208:U208" si="323">D101</f>
        <v>370</v>
      </c>
      <c r="E208" s="68">
        <f t="shared" ref="E208:F208" si="324">E101</f>
        <v>15117.980000000003</v>
      </c>
      <c r="F208" s="68">
        <f t="shared" si="324"/>
        <v>48430</v>
      </c>
      <c r="G208" s="68">
        <f t="shared" si="323"/>
        <v>48418</v>
      </c>
      <c r="H208" s="68">
        <f t="shared" si="323"/>
        <v>48430</v>
      </c>
      <c r="I208" s="68">
        <f t="shared" si="323"/>
        <v>93093.859999999986</v>
      </c>
      <c r="J208" s="68">
        <f t="shared" si="323"/>
        <v>93095</v>
      </c>
      <c r="K208" s="68">
        <f t="shared" ref="K208:L208" si="325">K101</f>
        <v>93093.859999999986</v>
      </c>
      <c r="L208" s="176">
        <f t="shared" si="325"/>
        <v>83030</v>
      </c>
      <c r="M208" s="176">
        <f t="shared" ref="M208:P208" si="326">M101</f>
        <v>20759</v>
      </c>
      <c r="N208" s="176">
        <f t="shared" si="326"/>
        <v>20759</v>
      </c>
      <c r="O208" s="176">
        <f t="shared" si="326"/>
        <v>20759</v>
      </c>
      <c r="P208" s="176">
        <f t="shared" si="326"/>
        <v>20753</v>
      </c>
      <c r="Q208" s="117">
        <f t="shared" si="313"/>
        <v>83030</v>
      </c>
      <c r="R208" s="117">
        <f t="shared" si="314"/>
        <v>0</v>
      </c>
      <c r="S208" s="176">
        <f t="shared" si="323"/>
        <v>113031</v>
      </c>
      <c r="T208" s="176">
        <f t="shared" si="323"/>
        <v>55312</v>
      </c>
      <c r="U208" s="176">
        <f t="shared" si="323"/>
        <v>0</v>
      </c>
    </row>
    <row r="209" spans="1:21" ht="8.25" hidden="1" customHeight="1">
      <c r="A209" s="34"/>
      <c r="B209" s="21" t="s">
        <v>126</v>
      </c>
      <c r="C209" s="12" t="s">
        <v>441</v>
      </c>
      <c r="D209" s="68"/>
      <c r="E209" s="197"/>
      <c r="F209" s="68"/>
      <c r="G209" s="68"/>
      <c r="H209" s="68"/>
      <c r="I209" s="197"/>
      <c r="J209" s="197"/>
      <c r="K209" s="197"/>
      <c r="L209" s="282"/>
      <c r="M209" s="282"/>
      <c r="N209" s="282"/>
      <c r="O209" s="282"/>
      <c r="P209" s="282"/>
      <c r="Q209" s="117">
        <f t="shared" si="313"/>
        <v>0</v>
      </c>
      <c r="R209" s="117">
        <f t="shared" si="314"/>
        <v>0</v>
      </c>
      <c r="S209" s="282"/>
      <c r="T209" s="282"/>
      <c r="U209" s="282"/>
    </row>
    <row r="210" spans="1:21" ht="19.5" hidden="1" customHeight="1">
      <c r="A210" s="34"/>
      <c r="B210" s="21" t="s">
        <v>127</v>
      </c>
      <c r="C210" s="91" t="s">
        <v>442</v>
      </c>
      <c r="D210" s="68"/>
      <c r="E210" s="197"/>
      <c r="F210" s="68"/>
      <c r="G210" s="68"/>
      <c r="H210" s="68"/>
      <c r="I210" s="197"/>
      <c r="J210" s="197"/>
      <c r="K210" s="197"/>
      <c r="L210" s="282"/>
      <c r="M210" s="282"/>
      <c r="N210" s="282"/>
      <c r="O210" s="282"/>
      <c r="P210" s="282"/>
      <c r="Q210" s="117">
        <f t="shared" si="313"/>
        <v>0</v>
      </c>
      <c r="R210" s="117">
        <f t="shared" si="314"/>
        <v>0</v>
      </c>
      <c r="S210" s="282"/>
      <c r="T210" s="282"/>
      <c r="U210" s="282"/>
    </row>
    <row r="211" spans="1:21" ht="20.25" customHeight="1">
      <c r="A211" s="34"/>
      <c r="B211" s="136" t="s">
        <v>530</v>
      </c>
      <c r="C211" s="84" t="s">
        <v>496</v>
      </c>
      <c r="D211" s="68">
        <f t="shared" ref="D211:U211" si="327">D212+D213+D214</f>
        <v>352</v>
      </c>
      <c r="E211" s="68">
        <f t="shared" ref="E211:F211" si="328">E212+E213+E214</f>
        <v>1406.56</v>
      </c>
      <c r="F211" s="68">
        <f t="shared" si="328"/>
        <v>2110</v>
      </c>
      <c r="G211" s="68">
        <f t="shared" si="327"/>
        <v>2110</v>
      </c>
      <c r="H211" s="68">
        <f t="shared" si="327"/>
        <v>2110</v>
      </c>
      <c r="I211" s="68">
        <f t="shared" si="327"/>
        <v>3965</v>
      </c>
      <c r="J211" s="68">
        <f t="shared" si="327"/>
        <v>3965</v>
      </c>
      <c r="K211" s="68">
        <f t="shared" ref="K211:L211" si="329">K212+K213+K214</f>
        <v>3965</v>
      </c>
      <c r="L211" s="176">
        <f t="shared" si="329"/>
        <v>3965</v>
      </c>
      <c r="M211" s="176">
        <f t="shared" ref="M211:P211" si="330">M212+M213+M214</f>
        <v>992</v>
      </c>
      <c r="N211" s="176">
        <f t="shared" si="330"/>
        <v>992</v>
      </c>
      <c r="O211" s="176">
        <f t="shared" si="330"/>
        <v>992</v>
      </c>
      <c r="P211" s="176">
        <f t="shared" si="330"/>
        <v>989</v>
      </c>
      <c r="Q211" s="117">
        <f t="shared" si="313"/>
        <v>3965</v>
      </c>
      <c r="R211" s="117">
        <f t="shared" si="314"/>
        <v>0</v>
      </c>
      <c r="S211" s="176">
        <f t="shared" si="327"/>
        <v>2799</v>
      </c>
      <c r="T211" s="176">
        <f t="shared" si="327"/>
        <v>3048</v>
      </c>
      <c r="U211" s="176">
        <f t="shared" si="327"/>
        <v>0</v>
      </c>
    </row>
    <row r="212" spans="1:21" ht="19.5" customHeight="1">
      <c r="A212" s="34"/>
      <c r="B212" s="21" t="s">
        <v>130</v>
      </c>
      <c r="C212" s="12" t="s">
        <v>497</v>
      </c>
      <c r="D212" s="68">
        <f t="shared" ref="D212:U212" si="331">D106</f>
        <v>352</v>
      </c>
      <c r="E212" s="68">
        <f t="shared" ref="E212:F212" si="332">E106</f>
        <v>1406.56</v>
      </c>
      <c r="F212" s="68">
        <f t="shared" si="332"/>
        <v>2110</v>
      </c>
      <c r="G212" s="68">
        <f t="shared" si="331"/>
        <v>2110</v>
      </c>
      <c r="H212" s="68">
        <f t="shared" si="331"/>
        <v>2110</v>
      </c>
      <c r="I212" s="68">
        <f t="shared" si="331"/>
        <v>3965</v>
      </c>
      <c r="J212" s="68">
        <f t="shared" si="331"/>
        <v>3965</v>
      </c>
      <c r="K212" s="68">
        <f t="shared" ref="K212:L212" si="333">K106</f>
        <v>3965</v>
      </c>
      <c r="L212" s="176">
        <f t="shared" si="333"/>
        <v>3965</v>
      </c>
      <c r="M212" s="176">
        <f t="shared" ref="M212:P212" si="334">M106</f>
        <v>992</v>
      </c>
      <c r="N212" s="176">
        <f t="shared" si="334"/>
        <v>992</v>
      </c>
      <c r="O212" s="176">
        <f t="shared" si="334"/>
        <v>992</v>
      </c>
      <c r="P212" s="176">
        <f t="shared" si="334"/>
        <v>989</v>
      </c>
      <c r="Q212" s="117">
        <f t="shared" si="313"/>
        <v>3965</v>
      </c>
      <c r="R212" s="117">
        <f t="shared" si="314"/>
        <v>0</v>
      </c>
      <c r="S212" s="176">
        <f t="shared" si="331"/>
        <v>2799</v>
      </c>
      <c r="T212" s="176">
        <f t="shared" si="331"/>
        <v>3048</v>
      </c>
      <c r="U212" s="176">
        <f t="shared" si="331"/>
        <v>0</v>
      </c>
    </row>
    <row r="213" spans="1:21" ht="0.75" customHeight="1">
      <c r="A213" s="34"/>
      <c r="B213" s="21" t="s">
        <v>126</v>
      </c>
      <c r="C213" s="12" t="s">
        <v>128</v>
      </c>
      <c r="D213" s="68"/>
      <c r="E213" s="197"/>
      <c r="F213" s="68"/>
      <c r="G213" s="68"/>
      <c r="H213" s="68"/>
      <c r="I213" s="197"/>
      <c r="J213" s="197"/>
      <c r="K213" s="197"/>
      <c r="L213" s="282"/>
      <c r="M213" s="282"/>
      <c r="N213" s="282"/>
      <c r="O213" s="282"/>
      <c r="P213" s="282"/>
      <c r="Q213" s="117">
        <f t="shared" si="313"/>
        <v>0</v>
      </c>
      <c r="R213" s="117">
        <f t="shared" si="314"/>
        <v>0</v>
      </c>
      <c r="S213" s="282"/>
      <c r="T213" s="282"/>
      <c r="U213" s="282"/>
    </row>
    <row r="214" spans="1:21" ht="28.5" hidden="1" customHeight="1">
      <c r="A214" s="34"/>
      <c r="B214" s="21" t="s">
        <v>127</v>
      </c>
      <c r="C214" s="12" t="s">
        <v>499</v>
      </c>
      <c r="D214" s="68"/>
      <c r="E214" s="197"/>
      <c r="F214" s="68"/>
      <c r="G214" s="68"/>
      <c r="H214" s="68"/>
      <c r="I214" s="197"/>
      <c r="J214" s="197"/>
      <c r="K214" s="197"/>
      <c r="L214" s="282"/>
      <c r="M214" s="282"/>
      <c r="N214" s="282"/>
      <c r="O214" s="282"/>
      <c r="P214" s="282"/>
      <c r="Q214" s="117">
        <f t="shared" si="313"/>
        <v>0</v>
      </c>
      <c r="R214" s="117">
        <f t="shared" si="314"/>
        <v>0</v>
      </c>
      <c r="S214" s="282"/>
      <c r="T214" s="282"/>
      <c r="U214" s="282"/>
    </row>
    <row r="215" spans="1:21" ht="28.5" hidden="1" customHeight="1">
      <c r="A215" s="34"/>
      <c r="B215" s="183" t="s">
        <v>531</v>
      </c>
      <c r="C215" s="84" t="s">
        <v>500</v>
      </c>
      <c r="D215" s="68">
        <f t="shared" ref="D215:U216" si="335">D109</f>
        <v>0</v>
      </c>
      <c r="E215" s="197"/>
      <c r="F215" s="68">
        <f t="shared" ref="F215" si="336">F109</f>
        <v>44</v>
      </c>
      <c r="G215" s="68">
        <f t="shared" si="335"/>
        <v>44</v>
      </c>
      <c r="H215" s="68">
        <f t="shared" si="335"/>
        <v>44</v>
      </c>
      <c r="I215" s="68">
        <f t="shared" si="335"/>
        <v>2765</v>
      </c>
      <c r="J215" s="68">
        <f t="shared" si="335"/>
        <v>2765</v>
      </c>
      <c r="K215" s="68">
        <f t="shared" ref="K215:L215" si="337">K109</f>
        <v>0</v>
      </c>
      <c r="L215" s="176">
        <f t="shared" si="337"/>
        <v>0</v>
      </c>
      <c r="M215" s="176">
        <f t="shared" ref="M215:P215" si="338">M109</f>
        <v>0</v>
      </c>
      <c r="N215" s="176">
        <f t="shared" si="338"/>
        <v>0</v>
      </c>
      <c r="O215" s="176">
        <f t="shared" si="338"/>
        <v>0</v>
      </c>
      <c r="P215" s="176">
        <f t="shared" si="338"/>
        <v>0</v>
      </c>
      <c r="Q215" s="117">
        <f t="shared" si="313"/>
        <v>0</v>
      </c>
      <c r="R215" s="117">
        <f t="shared" si="314"/>
        <v>0</v>
      </c>
      <c r="S215" s="176">
        <f t="shared" si="335"/>
        <v>0</v>
      </c>
      <c r="T215" s="176">
        <f t="shared" si="335"/>
        <v>0</v>
      </c>
      <c r="U215" s="176">
        <f t="shared" si="335"/>
        <v>0</v>
      </c>
    </row>
    <row r="216" spans="1:21" ht="28.5" hidden="1" customHeight="1">
      <c r="A216" s="34"/>
      <c r="B216" s="21" t="s">
        <v>130</v>
      </c>
      <c r="C216" s="12" t="s">
        <v>501</v>
      </c>
      <c r="D216" s="68">
        <f t="shared" si="335"/>
        <v>0</v>
      </c>
      <c r="E216" s="68">
        <f t="shared" ref="E216:F216" si="339">E110</f>
        <v>39</v>
      </c>
      <c r="F216" s="68">
        <f t="shared" si="339"/>
        <v>44</v>
      </c>
      <c r="G216" s="68">
        <f t="shared" si="335"/>
        <v>44</v>
      </c>
      <c r="H216" s="68">
        <f t="shared" si="335"/>
        <v>44</v>
      </c>
      <c r="I216" s="68">
        <f t="shared" si="335"/>
        <v>2765</v>
      </c>
      <c r="J216" s="68">
        <f t="shared" si="335"/>
        <v>2765</v>
      </c>
      <c r="K216" s="68">
        <f t="shared" ref="K216:L216" si="340">K110</f>
        <v>0</v>
      </c>
      <c r="L216" s="176">
        <f t="shared" si="340"/>
        <v>0</v>
      </c>
      <c r="M216" s="176">
        <f t="shared" ref="M216:P216" si="341">M110</f>
        <v>0</v>
      </c>
      <c r="N216" s="176">
        <f t="shared" si="341"/>
        <v>0</v>
      </c>
      <c r="O216" s="176">
        <f t="shared" si="341"/>
        <v>0</v>
      </c>
      <c r="P216" s="176">
        <f t="shared" si="341"/>
        <v>0</v>
      </c>
      <c r="Q216" s="117">
        <f t="shared" si="313"/>
        <v>0</v>
      </c>
      <c r="R216" s="117">
        <f t="shared" si="314"/>
        <v>0</v>
      </c>
      <c r="S216" s="176">
        <f t="shared" si="335"/>
        <v>0</v>
      </c>
      <c r="T216" s="176">
        <f t="shared" si="335"/>
        <v>0</v>
      </c>
      <c r="U216" s="176">
        <f t="shared" si="335"/>
        <v>0</v>
      </c>
    </row>
    <row r="217" spans="1:21" ht="13.5" hidden="1" customHeight="1">
      <c r="A217" s="34"/>
      <c r="B217" s="21" t="s">
        <v>126</v>
      </c>
      <c r="C217" s="12" t="s">
        <v>502</v>
      </c>
      <c r="D217" s="68"/>
      <c r="E217" s="197"/>
      <c r="F217" s="68"/>
      <c r="G217" s="68"/>
      <c r="H217" s="68"/>
      <c r="I217" s="197"/>
      <c r="J217" s="197"/>
      <c r="K217" s="197"/>
      <c r="L217" s="282"/>
      <c r="M217" s="282"/>
      <c r="N217" s="282"/>
      <c r="O217" s="282"/>
      <c r="P217" s="282"/>
      <c r="Q217" s="117">
        <f t="shared" si="313"/>
        <v>0</v>
      </c>
      <c r="R217" s="117">
        <f t="shared" si="314"/>
        <v>0</v>
      </c>
      <c r="S217" s="282"/>
      <c r="T217" s="282"/>
      <c r="U217" s="282"/>
    </row>
    <row r="218" spans="1:21" ht="15.75" hidden="1" customHeight="1">
      <c r="A218" s="34"/>
      <c r="B218" s="21" t="s">
        <v>127</v>
      </c>
      <c r="C218" s="91" t="s">
        <v>503</v>
      </c>
      <c r="D218" s="68"/>
      <c r="E218" s="197"/>
      <c r="F218" s="68"/>
      <c r="G218" s="68"/>
      <c r="H218" s="68"/>
      <c r="I218" s="197"/>
      <c r="J218" s="197"/>
      <c r="K218" s="197"/>
      <c r="L218" s="282"/>
      <c r="M218" s="282"/>
      <c r="N218" s="282"/>
      <c r="O218" s="282"/>
      <c r="P218" s="282"/>
      <c r="Q218" s="117">
        <f t="shared" si="313"/>
        <v>0</v>
      </c>
      <c r="R218" s="117">
        <f t="shared" si="314"/>
        <v>0</v>
      </c>
      <c r="S218" s="282"/>
      <c r="T218" s="282"/>
      <c r="U218" s="282"/>
    </row>
    <row r="219" spans="1:21" ht="0.75" hidden="1" customHeight="1">
      <c r="A219" s="17"/>
      <c r="B219" s="18"/>
      <c r="C219" s="86"/>
      <c r="D219" s="119"/>
      <c r="E219" s="197"/>
      <c r="F219" s="68"/>
      <c r="G219" s="68"/>
      <c r="H219" s="68"/>
      <c r="I219" s="197"/>
      <c r="J219" s="197"/>
      <c r="K219" s="197"/>
      <c r="L219" s="282"/>
      <c r="M219" s="282"/>
      <c r="N219" s="282"/>
      <c r="O219" s="282"/>
      <c r="P219" s="282"/>
      <c r="Q219" s="117">
        <f t="shared" si="313"/>
        <v>0</v>
      </c>
      <c r="R219" s="117">
        <f t="shared" si="314"/>
        <v>0</v>
      </c>
      <c r="S219" s="282"/>
      <c r="T219" s="282"/>
      <c r="U219" s="282"/>
    </row>
    <row r="220" spans="1:21" ht="24.75" customHeight="1">
      <c r="A220" s="34"/>
      <c r="B220" s="19" t="s">
        <v>1</v>
      </c>
      <c r="C220" s="15" t="s">
        <v>2</v>
      </c>
      <c r="D220" s="68"/>
      <c r="E220" s="197"/>
      <c r="F220" s="68"/>
      <c r="G220" s="68"/>
      <c r="H220" s="68"/>
      <c r="I220" s="197"/>
      <c r="J220" s="197"/>
      <c r="K220" s="197"/>
      <c r="L220" s="282"/>
      <c r="M220" s="282"/>
      <c r="N220" s="282"/>
      <c r="O220" s="282"/>
      <c r="P220" s="282"/>
      <c r="Q220" s="117">
        <f t="shared" si="313"/>
        <v>0</v>
      </c>
      <c r="R220" s="117">
        <f t="shared" si="314"/>
        <v>0</v>
      </c>
      <c r="S220" s="282"/>
      <c r="T220" s="282"/>
      <c r="U220" s="282"/>
    </row>
    <row r="221" spans="1:21" ht="18" customHeight="1">
      <c r="A221" s="41"/>
      <c r="B221" s="41" t="s">
        <v>587</v>
      </c>
      <c r="C221" s="87"/>
      <c r="D221" s="73">
        <f t="shared" ref="D221:U221" si="342">D245+D418+D453+D964+D1034</f>
        <v>305729.48000000004</v>
      </c>
      <c r="E221" s="180">
        <f t="shared" ref="E221:F221" si="343">E245+E418+E453+E964+E1034</f>
        <v>378908.15000000008</v>
      </c>
      <c r="F221" s="180">
        <f t="shared" si="343"/>
        <v>497549.83999999997</v>
      </c>
      <c r="G221" s="180">
        <f t="shared" si="342"/>
        <v>429409</v>
      </c>
      <c r="H221" s="180">
        <f t="shared" si="342"/>
        <v>497548.83999999997</v>
      </c>
      <c r="I221" s="180">
        <f t="shared" si="342"/>
        <v>745747.56</v>
      </c>
      <c r="J221" s="180">
        <f t="shared" si="342"/>
        <v>524825</v>
      </c>
      <c r="K221" s="180">
        <f t="shared" ref="K221:L221" si="344">K245+K418+K453+K964+K1034</f>
        <v>517072.56</v>
      </c>
      <c r="L221" s="292">
        <f t="shared" si="344"/>
        <v>444083</v>
      </c>
      <c r="M221" s="292">
        <f t="shared" ref="M221:P221" si="345">M245+M418+M453+M964+M1034</f>
        <v>143654</v>
      </c>
      <c r="N221" s="292">
        <f t="shared" si="345"/>
        <v>107256</v>
      </c>
      <c r="O221" s="292">
        <f t="shared" si="345"/>
        <v>106662</v>
      </c>
      <c r="P221" s="292">
        <f t="shared" si="345"/>
        <v>86511</v>
      </c>
      <c r="Q221" s="117">
        <f t="shared" si="313"/>
        <v>444083</v>
      </c>
      <c r="R221" s="117">
        <f t="shared" si="314"/>
        <v>0</v>
      </c>
      <c r="S221" s="292">
        <f t="shared" si="342"/>
        <v>495684</v>
      </c>
      <c r="T221" s="292">
        <f t="shared" si="342"/>
        <v>365527</v>
      </c>
      <c r="U221" s="292">
        <f t="shared" si="342"/>
        <v>298148</v>
      </c>
    </row>
    <row r="222" spans="1:21" ht="14.25">
      <c r="A222" s="102"/>
      <c r="B222" s="103" t="s">
        <v>153</v>
      </c>
      <c r="C222" s="106"/>
      <c r="D222" s="120">
        <f t="shared" ref="D222:U222" si="346">D246+D419+D454+D965+D1035</f>
        <v>274932</v>
      </c>
      <c r="E222" s="179">
        <f t="shared" ref="E222:F222" si="347">E246+E419+E454+E965+E1035</f>
        <v>292910.68</v>
      </c>
      <c r="F222" s="179">
        <f t="shared" si="347"/>
        <v>333752.2</v>
      </c>
      <c r="G222" s="179">
        <f t="shared" si="346"/>
        <v>299125</v>
      </c>
      <c r="H222" s="179">
        <f t="shared" si="346"/>
        <v>333751.5</v>
      </c>
      <c r="I222" s="179">
        <f t="shared" si="346"/>
        <v>368649.6</v>
      </c>
      <c r="J222" s="179">
        <f t="shared" si="346"/>
        <v>323882</v>
      </c>
      <c r="K222" s="179">
        <f t="shared" ref="K222:L222" si="348">K246+K419+K454+K965+K1035</f>
        <v>328841.59999999998</v>
      </c>
      <c r="L222" s="290">
        <f t="shared" si="348"/>
        <v>273600</v>
      </c>
      <c r="M222" s="290">
        <f t="shared" ref="M222:P222" si="349">M246+M419+M454+M965+M1035</f>
        <v>70314</v>
      </c>
      <c r="N222" s="290">
        <f t="shared" si="349"/>
        <v>73881</v>
      </c>
      <c r="O222" s="290">
        <f t="shared" si="349"/>
        <v>74261</v>
      </c>
      <c r="P222" s="290">
        <f t="shared" si="349"/>
        <v>55144</v>
      </c>
      <c r="Q222" s="117">
        <f t="shared" si="313"/>
        <v>273600</v>
      </c>
      <c r="R222" s="117">
        <f t="shared" si="314"/>
        <v>0</v>
      </c>
      <c r="S222" s="290">
        <f t="shared" si="346"/>
        <v>279738</v>
      </c>
      <c r="T222" s="290">
        <f t="shared" si="346"/>
        <v>280579</v>
      </c>
      <c r="U222" s="290">
        <f t="shared" si="346"/>
        <v>282878</v>
      </c>
    </row>
    <row r="223" spans="1:21" ht="15.75">
      <c r="A223" s="34"/>
      <c r="B223" s="163" t="s">
        <v>154</v>
      </c>
      <c r="C223" s="164">
        <v>0.01</v>
      </c>
      <c r="D223" s="165">
        <f t="shared" ref="D223:U223" si="350">D247+D420+D455+D966+D1036</f>
        <v>268876</v>
      </c>
      <c r="E223" s="181">
        <f t="shared" ref="E223:F223" si="351">E247+E420+E455+E966+E1036</f>
        <v>287682.45000000007</v>
      </c>
      <c r="F223" s="181">
        <f t="shared" si="351"/>
        <v>328305.2</v>
      </c>
      <c r="G223" s="181">
        <f t="shared" si="350"/>
        <v>293325</v>
      </c>
      <c r="H223" s="181">
        <f t="shared" si="350"/>
        <v>328304.5</v>
      </c>
      <c r="I223" s="181">
        <f t="shared" si="350"/>
        <v>362849.6</v>
      </c>
      <c r="J223" s="181">
        <f t="shared" si="350"/>
        <v>318082</v>
      </c>
      <c r="K223" s="181">
        <f t="shared" ref="K223:L223" si="352">K247+K420+K455+K966+K1036</f>
        <v>323041.59999999998</v>
      </c>
      <c r="L223" s="284">
        <f t="shared" si="352"/>
        <v>267800</v>
      </c>
      <c r="M223" s="284">
        <f t="shared" ref="M223:P223" si="353">M247+M420+M455+M966+M1036</f>
        <v>68814</v>
      </c>
      <c r="N223" s="284">
        <f t="shared" si="353"/>
        <v>72381</v>
      </c>
      <c r="O223" s="284">
        <f t="shared" si="353"/>
        <v>72761</v>
      </c>
      <c r="P223" s="284">
        <f t="shared" si="353"/>
        <v>53844</v>
      </c>
      <c r="Q223" s="117">
        <f t="shared" si="313"/>
        <v>267800</v>
      </c>
      <c r="R223" s="117">
        <f t="shared" si="314"/>
        <v>0</v>
      </c>
      <c r="S223" s="284">
        <f t="shared" si="350"/>
        <v>273938</v>
      </c>
      <c r="T223" s="284">
        <f t="shared" si="350"/>
        <v>274779</v>
      </c>
      <c r="U223" s="284">
        <f t="shared" si="350"/>
        <v>277078</v>
      </c>
    </row>
    <row r="224" spans="1:21" ht="15.75">
      <c r="A224" s="34"/>
      <c r="B224" s="163" t="s">
        <v>155</v>
      </c>
      <c r="C224" s="164">
        <v>10</v>
      </c>
      <c r="D224" s="165">
        <f t="shared" ref="D224:U224" si="354">D248+D421+D456+D967+D1037</f>
        <v>127484</v>
      </c>
      <c r="E224" s="181">
        <f t="shared" ref="E224:F224" si="355">E248+E421+E456+E967+E1037</f>
        <v>131889.21</v>
      </c>
      <c r="F224" s="181">
        <f t="shared" si="355"/>
        <v>145279</v>
      </c>
      <c r="G224" s="181">
        <f t="shared" si="354"/>
        <v>127386</v>
      </c>
      <c r="H224" s="181">
        <f t="shared" si="354"/>
        <v>145279</v>
      </c>
      <c r="I224" s="181">
        <f t="shared" si="354"/>
        <v>149089</v>
      </c>
      <c r="J224" s="181">
        <f t="shared" si="354"/>
        <v>136474</v>
      </c>
      <c r="K224" s="181">
        <f t="shared" ref="K224:L224" si="356">K248+K421+K456+K967+K1037</f>
        <v>145331</v>
      </c>
      <c r="L224" s="284">
        <f t="shared" si="356"/>
        <v>116685</v>
      </c>
      <c r="M224" s="284">
        <f t="shared" ref="M224:P224" si="357">M248+M421+M456+M967+M1037</f>
        <v>33820</v>
      </c>
      <c r="N224" s="284">
        <f t="shared" si="357"/>
        <v>34210</v>
      </c>
      <c r="O224" s="284">
        <f t="shared" si="357"/>
        <v>33870</v>
      </c>
      <c r="P224" s="284">
        <f t="shared" si="357"/>
        <v>14785</v>
      </c>
      <c r="Q224" s="117">
        <f t="shared" si="313"/>
        <v>116685</v>
      </c>
      <c r="R224" s="117">
        <f t="shared" si="314"/>
        <v>0</v>
      </c>
      <c r="S224" s="284">
        <f t="shared" si="354"/>
        <v>124310</v>
      </c>
      <c r="T224" s="284">
        <f t="shared" si="354"/>
        <v>124435</v>
      </c>
      <c r="U224" s="284">
        <f t="shared" si="354"/>
        <v>124285</v>
      </c>
    </row>
    <row r="225" spans="1:21" ht="15.75">
      <c r="A225" s="34"/>
      <c r="B225" s="163" t="s">
        <v>588</v>
      </c>
      <c r="C225" s="164">
        <v>20</v>
      </c>
      <c r="D225" s="165">
        <f t="shared" ref="D225:U225" si="358">D249+D422+D457+D968+D1038</f>
        <v>40847</v>
      </c>
      <c r="E225" s="181">
        <f t="shared" ref="E225:F225" si="359">E249+E422+E457+E968+E1038</f>
        <v>54356.45</v>
      </c>
      <c r="F225" s="181">
        <f t="shared" si="359"/>
        <v>72509.3</v>
      </c>
      <c r="G225" s="181">
        <f t="shared" si="358"/>
        <v>51738</v>
      </c>
      <c r="H225" s="181">
        <f t="shared" si="358"/>
        <v>72509.23000000001</v>
      </c>
      <c r="I225" s="181">
        <f t="shared" si="358"/>
        <v>89724</v>
      </c>
      <c r="J225" s="181">
        <f t="shared" si="358"/>
        <v>81091</v>
      </c>
      <c r="K225" s="181">
        <f t="shared" ref="K225:L225" si="360">K249+K422+K457+K968+K1038</f>
        <v>58155</v>
      </c>
      <c r="L225" s="284">
        <f t="shared" si="360"/>
        <v>53122</v>
      </c>
      <c r="M225" s="284">
        <f t="shared" ref="M225:P225" si="361">M249+M422+M457+M968+M1038</f>
        <v>11702</v>
      </c>
      <c r="N225" s="284">
        <f t="shared" si="361"/>
        <v>14499</v>
      </c>
      <c r="O225" s="284">
        <f t="shared" si="361"/>
        <v>14020</v>
      </c>
      <c r="P225" s="284">
        <f t="shared" si="361"/>
        <v>12901</v>
      </c>
      <c r="Q225" s="117">
        <f t="shared" si="313"/>
        <v>53122</v>
      </c>
      <c r="R225" s="117">
        <f t="shared" si="314"/>
        <v>0</v>
      </c>
      <c r="S225" s="284">
        <f t="shared" si="358"/>
        <v>49576</v>
      </c>
      <c r="T225" s="284">
        <f t="shared" si="358"/>
        <v>49093</v>
      </c>
      <c r="U225" s="284">
        <f t="shared" si="358"/>
        <v>51642</v>
      </c>
    </row>
    <row r="226" spans="1:21" ht="15.75">
      <c r="A226" s="34"/>
      <c r="B226" s="163" t="s">
        <v>157</v>
      </c>
      <c r="C226" s="164">
        <v>30</v>
      </c>
      <c r="D226" s="165">
        <f t="shared" ref="D226" si="362">D250</f>
        <v>1129</v>
      </c>
      <c r="E226" s="181">
        <f t="shared" ref="E226" si="363">E250</f>
        <v>847</v>
      </c>
      <c r="F226" s="181">
        <f>F250</f>
        <v>1300</v>
      </c>
      <c r="G226" s="181">
        <f>G250</f>
        <v>1300</v>
      </c>
      <c r="H226" s="181">
        <f>H250</f>
        <v>1300</v>
      </c>
      <c r="I226" s="181">
        <f t="shared" ref="I226:U226" si="364">I250</f>
        <v>1100</v>
      </c>
      <c r="J226" s="181">
        <f t="shared" si="364"/>
        <v>1100</v>
      </c>
      <c r="K226" s="181">
        <f t="shared" ref="K226:L226" si="365">K250</f>
        <v>1100</v>
      </c>
      <c r="L226" s="284">
        <f t="shared" si="365"/>
        <v>1000</v>
      </c>
      <c r="M226" s="284">
        <f t="shared" ref="M226:P226" si="366">M250</f>
        <v>325</v>
      </c>
      <c r="N226" s="284">
        <f t="shared" si="366"/>
        <v>250</v>
      </c>
      <c r="O226" s="284">
        <f t="shared" si="366"/>
        <v>250</v>
      </c>
      <c r="P226" s="284">
        <f t="shared" si="366"/>
        <v>175</v>
      </c>
      <c r="Q226" s="117">
        <f t="shared" si="313"/>
        <v>1000</v>
      </c>
      <c r="R226" s="117">
        <f t="shared" si="314"/>
        <v>0</v>
      </c>
      <c r="S226" s="284">
        <f t="shared" si="364"/>
        <v>900</v>
      </c>
      <c r="T226" s="284">
        <f t="shared" si="364"/>
        <v>800</v>
      </c>
      <c r="U226" s="284">
        <f t="shared" si="364"/>
        <v>700</v>
      </c>
    </row>
    <row r="227" spans="1:21" ht="15.75">
      <c r="A227" s="34"/>
      <c r="B227" s="163" t="s">
        <v>589</v>
      </c>
      <c r="C227" s="164">
        <v>40</v>
      </c>
      <c r="D227" s="165">
        <f t="shared" ref="D227:U227" si="367">D1041</f>
        <v>0</v>
      </c>
      <c r="E227" s="181">
        <f t="shared" ref="E227:F227" si="368">E1041</f>
        <v>950</v>
      </c>
      <c r="F227" s="181">
        <f t="shared" si="368"/>
        <v>950</v>
      </c>
      <c r="G227" s="181">
        <f t="shared" si="367"/>
        <v>950</v>
      </c>
      <c r="H227" s="181">
        <f t="shared" si="367"/>
        <v>950</v>
      </c>
      <c r="I227" s="181">
        <f t="shared" si="367"/>
        <v>0</v>
      </c>
      <c r="J227" s="181">
        <f t="shared" si="367"/>
        <v>0</v>
      </c>
      <c r="K227" s="181">
        <f t="shared" ref="K227:L227" si="369">K1041</f>
        <v>0</v>
      </c>
      <c r="L227" s="284">
        <f t="shared" si="369"/>
        <v>0</v>
      </c>
      <c r="M227" s="284">
        <f t="shared" ref="M227:P227" si="370">M1041</f>
        <v>0</v>
      </c>
      <c r="N227" s="284">
        <f t="shared" si="370"/>
        <v>0</v>
      </c>
      <c r="O227" s="284">
        <f t="shared" si="370"/>
        <v>0</v>
      </c>
      <c r="P227" s="284">
        <f t="shared" si="370"/>
        <v>0</v>
      </c>
      <c r="Q227" s="117">
        <f t="shared" si="313"/>
        <v>0</v>
      </c>
      <c r="R227" s="117">
        <f t="shared" si="314"/>
        <v>0</v>
      </c>
      <c r="S227" s="284">
        <f t="shared" si="367"/>
        <v>0</v>
      </c>
      <c r="T227" s="284">
        <f t="shared" si="367"/>
        <v>0</v>
      </c>
      <c r="U227" s="284">
        <f t="shared" si="367"/>
        <v>0</v>
      </c>
    </row>
    <row r="228" spans="1:21" ht="15.75">
      <c r="A228" s="34"/>
      <c r="B228" s="163" t="s">
        <v>158</v>
      </c>
      <c r="C228" s="164">
        <v>50</v>
      </c>
      <c r="D228" s="165">
        <f t="shared" ref="D228:U228" si="371">D251</f>
        <v>0</v>
      </c>
      <c r="E228" s="181">
        <f t="shared" ref="E228:F228" si="372">E251</f>
        <v>0</v>
      </c>
      <c r="F228" s="181">
        <f t="shared" si="372"/>
        <v>500</v>
      </c>
      <c r="G228" s="181">
        <f t="shared" si="371"/>
        <v>500</v>
      </c>
      <c r="H228" s="181">
        <f t="shared" si="371"/>
        <v>500</v>
      </c>
      <c r="I228" s="181">
        <f t="shared" si="371"/>
        <v>500</v>
      </c>
      <c r="J228" s="181">
        <f t="shared" si="371"/>
        <v>500</v>
      </c>
      <c r="K228" s="181">
        <f t="shared" ref="K228:L228" si="373">K251</f>
        <v>500</v>
      </c>
      <c r="L228" s="284">
        <f t="shared" si="373"/>
        <v>500</v>
      </c>
      <c r="M228" s="284">
        <f t="shared" ref="M228:P228" si="374">M251</f>
        <v>0</v>
      </c>
      <c r="N228" s="284">
        <f t="shared" si="374"/>
        <v>300</v>
      </c>
      <c r="O228" s="284">
        <f t="shared" si="374"/>
        <v>200</v>
      </c>
      <c r="P228" s="284">
        <f t="shared" si="374"/>
        <v>0</v>
      </c>
      <c r="Q228" s="117">
        <f t="shared" si="313"/>
        <v>500</v>
      </c>
      <c r="R228" s="117">
        <f t="shared" si="314"/>
        <v>0</v>
      </c>
      <c r="S228" s="284">
        <f t="shared" si="371"/>
        <v>500</v>
      </c>
      <c r="T228" s="284">
        <f t="shared" si="371"/>
        <v>500</v>
      </c>
      <c r="U228" s="284">
        <f t="shared" si="371"/>
        <v>500</v>
      </c>
    </row>
    <row r="229" spans="1:21" ht="15" customHeight="1">
      <c r="A229" s="34"/>
      <c r="B229" s="163" t="s">
        <v>159</v>
      </c>
      <c r="C229" s="164">
        <v>51</v>
      </c>
      <c r="D229" s="165">
        <f t="shared" ref="D229:U229" si="375">D252+D458+D1039</f>
        <v>72978</v>
      </c>
      <c r="E229" s="181">
        <f t="shared" ref="E229:F229" si="376">E252+E458+E1039</f>
        <v>77667</v>
      </c>
      <c r="F229" s="181">
        <f t="shared" si="376"/>
        <v>81699.899999999994</v>
      </c>
      <c r="G229" s="181">
        <f t="shared" si="375"/>
        <v>80059</v>
      </c>
      <c r="H229" s="181">
        <f t="shared" si="375"/>
        <v>81699.899999999994</v>
      </c>
      <c r="I229" s="181">
        <f t="shared" si="375"/>
        <v>89037</v>
      </c>
      <c r="J229" s="181">
        <f t="shared" si="375"/>
        <v>65817</v>
      </c>
      <c r="K229" s="181">
        <f t="shared" ref="K229:L229" si="377">K252+K458+K1039</f>
        <v>84862</v>
      </c>
      <c r="L229" s="284">
        <f t="shared" si="377"/>
        <v>63606</v>
      </c>
      <c r="M229" s="284">
        <f t="shared" ref="M229:P229" si="378">M252+M458+M1039</f>
        <v>18363</v>
      </c>
      <c r="N229" s="284">
        <f t="shared" si="378"/>
        <v>15607</v>
      </c>
      <c r="O229" s="284">
        <f t="shared" si="378"/>
        <v>16551</v>
      </c>
      <c r="P229" s="284">
        <f t="shared" si="378"/>
        <v>13085</v>
      </c>
      <c r="Q229" s="117">
        <f t="shared" si="313"/>
        <v>63606</v>
      </c>
      <c r="R229" s="117">
        <f t="shared" si="314"/>
        <v>0</v>
      </c>
      <c r="S229" s="284">
        <f t="shared" si="375"/>
        <v>63616</v>
      </c>
      <c r="T229" s="284">
        <f t="shared" si="375"/>
        <v>64915</v>
      </c>
      <c r="U229" s="284">
        <f t="shared" si="375"/>
        <v>64915</v>
      </c>
    </row>
    <row r="230" spans="1:21" ht="13.5" customHeight="1">
      <c r="A230" s="34"/>
      <c r="B230" s="163" t="s">
        <v>160</v>
      </c>
      <c r="C230" s="164">
        <v>55</v>
      </c>
      <c r="D230" s="165">
        <f t="shared" ref="D230" si="379">D253</f>
        <v>0</v>
      </c>
      <c r="E230" s="181">
        <f t="shared" ref="E230:F230" si="380">E253+E459</f>
        <v>2</v>
      </c>
      <c r="F230" s="181">
        <f t="shared" si="380"/>
        <v>54</v>
      </c>
      <c r="G230" s="181">
        <f t="shared" ref="G230:U231" si="381">G253+G459</f>
        <v>0</v>
      </c>
      <c r="H230" s="181">
        <f t="shared" si="381"/>
        <v>54</v>
      </c>
      <c r="I230" s="181">
        <f t="shared" si="381"/>
        <v>0</v>
      </c>
      <c r="J230" s="181">
        <f t="shared" si="381"/>
        <v>0</v>
      </c>
      <c r="K230" s="181">
        <f t="shared" ref="K230:L230" si="382">K253+K459</f>
        <v>0</v>
      </c>
      <c r="L230" s="284">
        <f t="shared" si="382"/>
        <v>0</v>
      </c>
      <c r="M230" s="284">
        <f t="shared" ref="M230:P230" si="383">M253+M459</f>
        <v>0</v>
      </c>
      <c r="N230" s="284">
        <f t="shared" si="383"/>
        <v>0</v>
      </c>
      <c r="O230" s="284">
        <f t="shared" si="383"/>
        <v>0</v>
      </c>
      <c r="P230" s="284">
        <f t="shared" si="383"/>
        <v>0</v>
      </c>
      <c r="Q230" s="117">
        <f t="shared" si="313"/>
        <v>0</v>
      </c>
      <c r="R230" s="117">
        <f t="shared" si="314"/>
        <v>0</v>
      </c>
      <c r="S230" s="284">
        <f t="shared" si="381"/>
        <v>0</v>
      </c>
      <c r="T230" s="284">
        <f t="shared" si="381"/>
        <v>0</v>
      </c>
      <c r="U230" s="284">
        <f t="shared" si="381"/>
        <v>0</v>
      </c>
    </row>
    <row r="231" spans="1:21" ht="15.75">
      <c r="A231" s="34"/>
      <c r="B231" s="163" t="s">
        <v>161</v>
      </c>
      <c r="C231" s="164">
        <v>57</v>
      </c>
      <c r="D231" s="165">
        <f t="shared" ref="D231:F231" si="384">D254+D460</f>
        <v>12994</v>
      </c>
      <c r="E231" s="181">
        <f t="shared" si="384"/>
        <v>8150.2699999999995</v>
      </c>
      <c r="F231" s="181">
        <f t="shared" si="384"/>
        <v>10451</v>
      </c>
      <c r="G231" s="181">
        <f t="shared" si="381"/>
        <v>15840</v>
      </c>
      <c r="H231" s="181">
        <f t="shared" si="381"/>
        <v>10450.369999999999</v>
      </c>
      <c r="I231" s="181">
        <f t="shared" si="381"/>
        <v>18680.599999999999</v>
      </c>
      <c r="J231" s="181">
        <f t="shared" si="381"/>
        <v>18581</v>
      </c>
      <c r="K231" s="181">
        <f t="shared" ref="K231:L231" si="385">K254+K460</f>
        <v>18674.599999999999</v>
      </c>
      <c r="L231" s="284">
        <f t="shared" si="385"/>
        <v>16925</v>
      </c>
      <c r="M231" s="284">
        <f t="shared" ref="M231:P231" si="386">M254+M460</f>
        <v>829</v>
      </c>
      <c r="N231" s="284">
        <f t="shared" si="386"/>
        <v>3540</v>
      </c>
      <c r="O231" s="284">
        <f t="shared" si="386"/>
        <v>3841</v>
      </c>
      <c r="P231" s="284">
        <f t="shared" si="386"/>
        <v>8715</v>
      </c>
      <c r="Q231" s="117">
        <f t="shared" si="313"/>
        <v>16925</v>
      </c>
      <c r="R231" s="117">
        <f t="shared" si="314"/>
        <v>0</v>
      </c>
      <c r="S231" s="284">
        <f t="shared" si="381"/>
        <v>17335</v>
      </c>
      <c r="T231" s="284">
        <f t="shared" si="381"/>
        <v>17335</v>
      </c>
      <c r="U231" s="284">
        <f t="shared" si="381"/>
        <v>17335</v>
      </c>
    </row>
    <row r="232" spans="1:21" ht="15.75">
      <c r="A232" s="34"/>
      <c r="B232" s="163" t="s">
        <v>162</v>
      </c>
      <c r="C232" s="164">
        <v>59</v>
      </c>
      <c r="D232" s="165">
        <f t="shared" ref="D232:U232" si="387">D255+D423+D461+D1040</f>
        <v>14574</v>
      </c>
      <c r="E232" s="181">
        <f t="shared" ref="E232:F232" si="388">E255+E423+E461+E1040</f>
        <v>14241.39</v>
      </c>
      <c r="F232" s="181">
        <f t="shared" si="388"/>
        <v>15562</v>
      </c>
      <c r="G232" s="181">
        <f t="shared" si="387"/>
        <v>15552</v>
      </c>
      <c r="H232" s="181">
        <f t="shared" si="387"/>
        <v>15562</v>
      </c>
      <c r="I232" s="181">
        <f t="shared" si="387"/>
        <v>14719</v>
      </c>
      <c r="J232" s="181">
        <f t="shared" si="387"/>
        <v>14519</v>
      </c>
      <c r="K232" s="181">
        <f t="shared" ref="K232:L232" si="389">K255+K423+K461+K1040</f>
        <v>14419</v>
      </c>
      <c r="L232" s="284">
        <f t="shared" si="389"/>
        <v>15962</v>
      </c>
      <c r="M232" s="284">
        <f t="shared" ref="M232:P232" si="390">M255+M423+M461+M1040</f>
        <v>3775</v>
      </c>
      <c r="N232" s="284">
        <f t="shared" si="390"/>
        <v>3975</v>
      </c>
      <c r="O232" s="284">
        <f t="shared" si="390"/>
        <v>4029</v>
      </c>
      <c r="P232" s="284">
        <f t="shared" si="390"/>
        <v>4183</v>
      </c>
      <c r="Q232" s="117">
        <f t="shared" si="313"/>
        <v>15962</v>
      </c>
      <c r="R232" s="117">
        <f t="shared" si="314"/>
        <v>0</v>
      </c>
      <c r="S232" s="284">
        <f t="shared" si="387"/>
        <v>17701</v>
      </c>
      <c r="T232" s="284">
        <f t="shared" si="387"/>
        <v>17701</v>
      </c>
      <c r="U232" s="284">
        <f t="shared" si="387"/>
        <v>17701</v>
      </c>
    </row>
    <row r="233" spans="1:21" ht="13.5" customHeight="1">
      <c r="A233" s="34"/>
      <c r="B233" s="163" t="s">
        <v>163</v>
      </c>
      <c r="C233" s="164">
        <v>79</v>
      </c>
      <c r="D233" s="165">
        <f t="shared" ref="D233:U233" si="391">D256</f>
        <v>5685</v>
      </c>
      <c r="E233" s="181">
        <f t="shared" ref="E233:F233" si="392">E256</f>
        <v>5720</v>
      </c>
      <c r="F233" s="181">
        <f t="shared" si="392"/>
        <v>5800</v>
      </c>
      <c r="G233" s="181">
        <f t="shared" si="391"/>
        <v>5800</v>
      </c>
      <c r="H233" s="181">
        <f t="shared" si="391"/>
        <v>5800</v>
      </c>
      <c r="I233" s="181">
        <f t="shared" si="391"/>
        <v>5800</v>
      </c>
      <c r="J233" s="181">
        <f t="shared" si="391"/>
        <v>5800</v>
      </c>
      <c r="K233" s="181">
        <f t="shared" ref="K233:L233" si="393">K256</f>
        <v>5800</v>
      </c>
      <c r="L233" s="284">
        <f t="shared" si="393"/>
        <v>5800</v>
      </c>
      <c r="M233" s="284">
        <f t="shared" ref="M233:P233" si="394">M256</f>
        <v>1500</v>
      </c>
      <c r="N233" s="284">
        <f t="shared" si="394"/>
        <v>1500</v>
      </c>
      <c r="O233" s="284">
        <f t="shared" si="394"/>
        <v>1500</v>
      </c>
      <c r="P233" s="284">
        <f t="shared" si="394"/>
        <v>1300</v>
      </c>
      <c r="Q233" s="117">
        <f t="shared" si="313"/>
        <v>5800</v>
      </c>
      <c r="R233" s="117">
        <f t="shared" si="314"/>
        <v>0</v>
      </c>
      <c r="S233" s="284">
        <f t="shared" si="391"/>
        <v>5800</v>
      </c>
      <c r="T233" s="284">
        <f t="shared" si="391"/>
        <v>5800</v>
      </c>
      <c r="U233" s="284">
        <f t="shared" si="391"/>
        <v>5800</v>
      </c>
    </row>
    <row r="234" spans="1:21" ht="13.5" customHeight="1">
      <c r="A234" s="34"/>
      <c r="B234" s="33" t="s">
        <v>164</v>
      </c>
      <c r="C234" s="12">
        <v>85.01</v>
      </c>
      <c r="D234" s="75">
        <f t="shared" ref="D234" si="395">D257+D462</f>
        <v>-74</v>
      </c>
      <c r="E234" s="181">
        <f>E257+E462+E638</f>
        <v>-369.6</v>
      </c>
      <c r="F234" s="181">
        <f>F257+F462+F638</f>
        <v>-383.21</v>
      </c>
      <c r="G234" s="181">
        <f>G257+G462+G638</f>
        <v>0</v>
      </c>
      <c r="H234" s="181">
        <f>H257+H462+H638</f>
        <v>-383.21</v>
      </c>
      <c r="I234" s="197"/>
      <c r="J234" s="197"/>
      <c r="K234" s="197"/>
      <c r="L234" s="282"/>
      <c r="M234" s="282"/>
      <c r="N234" s="282"/>
      <c r="O234" s="282"/>
      <c r="P234" s="282"/>
      <c r="Q234" s="117">
        <f t="shared" si="313"/>
        <v>0</v>
      </c>
      <c r="R234" s="117">
        <f t="shared" si="314"/>
        <v>0</v>
      </c>
      <c r="S234" s="282"/>
      <c r="T234" s="282"/>
      <c r="U234" s="282"/>
    </row>
    <row r="235" spans="1:21" ht="14.25">
      <c r="A235" s="64"/>
      <c r="B235" s="107" t="s">
        <v>165</v>
      </c>
      <c r="C235" s="104"/>
      <c r="D235" s="105">
        <f t="shared" ref="D235:U235" si="396">D258+D424+D463+D969+D1042</f>
        <v>30797.480000000003</v>
      </c>
      <c r="E235" s="179">
        <f t="shared" ref="E235:F235" si="397">E258+E424+E463+E969+E1042</f>
        <v>85594.47</v>
      </c>
      <c r="F235" s="179">
        <f t="shared" si="397"/>
        <v>163797.64000000001</v>
      </c>
      <c r="G235" s="179">
        <f t="shared" si="396"/>
        <v>130284</v>
      </c>
      <c r="H235" s="179">
        <f t="shared" si="396"/>
        <v>163797.34000000003</v>
      </c>
      <c r="I235" s="179">
        <f t="shared" si="396"/>
        <v>377030.95999999996</v>
      </c>
      <c r="J235" s="179">
        <f t="shared" si="396"/>
        <v>200943</v>
      </c>
      <c r="K235" s="179">
        <f t="shared" ref="K235:L235" si="398">K258+K424+K463+K969+K1042</f>
        <v>188163.96000000002</v>
      </c>
      <c r="L235" s="290">
        <f t="shared" si="398"/>
        <v>170483</v>
      </c>
      <c r="M235" s="290">
        <f t="shared" ref="M235:P235" si="399">M258+M424+M463+M969+M1042</f>
        <v>73340</v>
      </c>
      <c r="N235" s="290">
        <f t="shared" si="399"/>
        <v>33375</v>
      </c>
      <c r="O235" s="290">
        <f t="shared" si="399"/>
        <v>32401</v>
      </c>
      <c r="P235" s="290">
        <f t="shared" si="399"/>
        <v>31367</v>
      </c>
      <c r="Q235" s="117">
        <f t="shared" si="313"/>
        <v>170483</v>
      </c>
      <c r="R235" s="117">
        <f t="shared" si="314"/>
        <v>0</v>
      </c>
      <c r="S235" s="290">
        <f t="shared" si="396"/>
        <v>215946</v>
      </c>
      <c r="T235" s="290">
        <f t="shared" si="396"/>
        <v>84948</v>
      </c>
      <c r="U235" s="290">
        <f t="shared" si="396"/>
        <v>15270</v>
      </c>
    </row>
    <row r="236" spans="1:21" ht="27.75" customHeight="1">
      <c r="A236" s="34"/>
      <c r="B236" s="31" t="s">
        <v>166</v>
      </c>
      <c r="C236" s="84">
        <v>51</v>
      </c>
      <c r="D236" s="75">
        <f t="shared" ref="D236:U236" si="400">D464+D465+D466+D259</f>
        <v>15986</v>
      </c>
      <c r="E236" s="181">
        <f t="shared" ref="E236:F236" si="401">E464+E465+E466+E259</f>
        <v>19150</v>
      </c>
      <c r="F236" s="181">
        <f t="shared" si="401"/>
        <v>35983.5</v>
      </c>
      <c r="G236" s="181">
        <f t="shared" si="400"/>
        <v>29705</v>
      </c>
      <c r="H236" s="181">
        <f t="shared" si="400"/>
        <v>35983.5</v>
      </c>
      <c r="I236" s="181">
        <f t="shared" si="400"/>
        <v>101874</v>
      </c>
      <c r="J236" s="181">
        <f t="shared" si="400"/>
        <v>15000</v>
      </c>
      <c r="K236" s="181">
        <f t="shared" ref="K236:L236" si="402">K464+K465+K466+K259</f>
        <v>54918</v>
      </c>
      <c r="L236" s="284">
        <f t="shared" si="402"/>
        <v>10044</v>
      </c>
      <c r="M236" s="284">
        <f t="shared" ref="M236:P236" si="403">M464+M465+M466+M259</f>
        <v>10044</v>
      </c>
      <c r="N236" s="284">
        <f t="shared" si="403"/>
        <v>0</v>
      </c>
      <c r="O236" s="284">
        <f t="shared" si="403"/>
        <v>0</v>
      </c>
      <c r="P236" s="284">
        <f t="shared" si="403"/>
        <v>0</v>
      </c>
      <c r="Q236" s="117">
        <f t="shared" si="313"/>
        <v>10044</v>
      </c>
      <c r="R236" s="117">
        <f t="shared" si="314"/>
        <v>0</v>
      </c>
      <c r="S236" s="284">
        <f t="shared" si="400"/>
        <v>0</v>
      </c>
      <c r="T236" s="284">
        <f t="shared" si="400"/>
        <v>0</v>
      </c>
      <c r="U236" s="284">
        <f t="shared" si="400"/>
        <v>0</v>
      </c>
    </row>
    <row r="237" spans="1:21" ht="30.75" customHeight="1">
      <c r="A237" s="34"/>
      <c r="B237" s="31" t="s">
        <v>167</v>
      </c>
      <c r="C237" s="84" t="s">
        <v>168</v>
      </c>
      <c r="D237" s="75">
        <f t="shared" ref="D237:U238" si="404">D464</f>
        <v>6559</v>
      </c>
      <c r="E237" s="75">
        <f t="shared" ref="E237:F237" si="405">E464</f>
        <v>15282</v>
      </c>
      <c r="F237" s="75">
        <f t="shared" si="405"/>
        <v>30988.5</v>
      </c>
      <c r="G237" s="75">
        <f t="shared" si="404"/>
        <v>29209</v>
      </c>
      <c r="H237" s="75">
        <f t="shared" si="404"/>
        <v>30988.5</v>
      </c>
      <c r="I237" s="75">
        <f t="shared" si="404"/>
        <v>98997</v>
      </c>
      <c r="J237" s="75">
        <f t="shared" si="404"/>
        <v>15000</v>
      </c>
      <c r="K237" s="75">
        <f t="shared" ref="K237:L237" si="406">K464</f>
        <v>52041</v>
      </c>
      <c r="L237" s="284">
        <f t="shared" si="406"/>
        <v>10000</v>
      </c>
      <c r="M237" s="284">
        <f t="shared" ref="M237:P237" si="407">M464</f>
        <v>10000</v>
      </c>
      <c r="N237" s="284">
        <f t="shared" si="407"/>
        <v>0</v>
      </c>
      <c r="O237" s="284">
        <f t="shared" si="407"/>
        <v>0</v>
      </c>
      <c r="P237" s="284">
        <f t="shared" si="407"/>
        <v>0</v>
      </c>
      <c r="Q237" s="117">
        <f t="shared" si="313"/>
        <v>10000</v>
      </c>
      <c r="R237" s="117">
        <f t="shared" si="314"/>
        <v>0</v>
      </c>
      <c r="S237" s="284">
        <f t="shared" si="404"/>
        <v>0</v>
      </c>
      <c r="T237" s="284">
        <f t="shared" si="404"/>
        <v>0</v>
      </c>
      <c r="U237" s="284">
        <f t="shared" si="404"/>
        <v>0</v>
      </c>
    </row>
    <row r="238" spans="1:21" ht="16.5" hidden="1" customHeight="1">
      <c r="A238" s="34"/>
      <c r="B238" s="31" t="s">
        <v>169</v>
      </c>
      <c r="C238" s="84" t="s">
        <v>170</v>
      </c>
      <c r="D238" s="75">
        <f t="shared" si="404"/>
        <v>5412</v>
      </c>
      <c r="E238" s="75">
        <f t="shared" ref="E238:F238" si="408">E465</f>
        <v>2857</v>
      </c>
      <c r="F238" s="75">
        <f t="shared" si="408"/>
        <v>3822</v>
      </c>
      <c r="G238" s="75">
        <f t="shared" si="404"/>
        <v>0</v>
      </c>
      <c r="H238" s="75">
        <f t="shared" si="404"/>
        <v>3822</v>
      </c>
      <c r="I238" s="75">
        <f t="shared" si="404"/>
        <v>0</v>
      </c>
      <c r="J238" s="75">
        <f t="shared" si="404"/>
        <v>0</v>
      </c>
      <c r="K238" s="75">
        <f t="shared" ref="K238:L238" si="409">K465</f>
        <v>0</v>
      </c>
      <c r="L238" s="284">
        <f t="shared" si="409"/>
        <v>0</v>
      </c>
      <c r="M238" s="284">
        <f t="shared" ref="M238:P238" si="410">M465</f>
        <v>0</v>
      </c>
      <c r="N238" s="284">
        <f t="shared" si="410"/>
        <v>0</v>
      </c>
      <c r="O238" s="284">
        <f t="shared" si="410"/>
        <v>0</v>
      </c>
      <c r="P238" s="284">
        <f t="shared" si="410"/>
        <v>0</v>
      </c>
      <c r="Q238" s="117">
        <f t="shared" si="313"/>
        <v>0</v>
      </c>
      <c r="R238" s="117">
        <f t="shared" si="314"/>
        <v>0</v>
      </c>
      <c r="S238" s="284">
        <f t="shared" si="404"/>
        <v>0</v>
      </c>
      <c r="T238" s="284">
        <f t="shared" si="404"/>
        <v>0</v>
      </c>
      <c r="U238" s="284">
        <f t="shared" si="404"/>
        <v>0</v>
      </c>
    </row>
    <row r="239" spans="1:21" ht="25.5" customHeight="1">
      <c r="A239" s="34"/>
      <c r="B239" s="31" t="s">
        <v>171</v>
      </c>
      <c r="C239" s="84" t="s">
        <v>172</v>
      </c>
      <c r="D239" s="75">
        <f t="shared" ref="D239:U239" si="411">D466+D260</f>
        <v>4015</v>
      </c>
      <c r="E239" s="75">
        <f t="shared" ref="E239:F239" si="412">E466+E260</f>
        <v>1011</v>
      </c>
      <c r="F239" s="75">
        <f t="shared" si="412"/>
        <v>1173</v>
      </c>
      <c r="G239" s="75">
        <f t="shared" si="411"/>
        <v>496</v>
      </c>
      <c r="H239" s="75">
        <f t="shared" si="411"/>
        <v>1173</v>
      </c>
      <c r="I239" s="75">
        <f t="shared" si="411"/>
        <v>2877</v>
      </c>
      <c r="J239" s="75">
        <f t="shared" si="411"/>
        <v>0</v>
      </c>
      <c r="K239" s="75">
        <f t="shared" ref="K239:L239" si="413">K466+K260</f>
        <v>2877</v>
      </c>
      <c r="L239" s="284">
        <f t="shared" si="413"/>
        <v>44</v>
      </c>
      <c r="M239" s="284">
        <f t="shared" ref="M239:P239" si="414">M466+M260</f>
        <v>44</v>
      </c>
      <c r="N239" s="284">
        <f t="shared" si="414"/>
        <v>0</v>
      </c>
      <c r="O239" s="284">
        <f t="shared" si="414"/>
        <v>0</v>
      </c>
      <c r="P239" s="284">
        <f t="shared" si="414"/>
        <v>0</v>
      </c>
      <c r="Q239" s="117">
        <f t="shared" si="313"/>
        <v>44</v>
      </c>
      <c r="R239" s="117">
        <f t="shared" si="314"/>
        <v>0</v>
      </c>
      <c r="S239" s="284">
        <f t="shared" si="411"/>
        <v>0</v>
      </c>
      <c r="T239" s="284">
        <f t="shared" si="411"/>
        <v>0</v>
      </c>
      <c r="U239" s="284">
        <f t="shared" si="411"/>
        <v>0</v>
      </c>
    </row>
    <row r="240" spans="1:21" ht="14.25">
      <c r="A240" s="34"/>
      <c r="B240" s="26" t="s">
        <v>173</v>
      </c>
      <c r="C240" s="12">
        <v>55</v>
      </c>
      <c r="D240" s="73">
        <f t="shared" ref="D240:U240" si="415">D261+D1043+D467</f>
        <v>957</v>
      </c>
      <c r="E240" s="73">
        <f t="shared" ref="E240:F240" si="416">E261+E1043+E467</f>
        <v>950.57</v>
      </c>
      <c r="F240" s="73">
        <f t="shared" si="416"/>
        <v>1957</v>
      </c>
      <c r="G240" s="73">
        <f t="shared" si="415"/>
        <v>1957</v>
      </c>
      <c r="H240" s="73">
        <f t="shared" si="415"/>
        <v>1957</v>
      </c>
      <c r="I240" s="73">
        <f t="shared" si="415"/>
        <v>16852</v>
      </c>
      <c r="J240" s="73">
        <f t="shared" si="415"/>
        <v>1945</v>
      </c>
      <c r="K240" s="73">
        <f t="shared" ref="K240:L240" si="417">K261+K1043+K467</f>
        <v>945</v>
      </c>
      <c r="L240" s="292">
        <f t="shared" si="417"/>
        <v>945</v>
      </c>
      <c r="M240" s="292">
        <f t="shared" ref="M240:P240" si="418">M261+M1043+M467</f>
        <v>945</v>
      </c>
      <c r="N240" s="292">
        <f t="shared" si="418"/>
        <v>0</v>
      </c>
      <c r="O240" s="292">
        <f t="shared" si="418"/>
        <v>0</v>
      </c>
      <c r="P240" s="292">
        <f t="shared" si="418"/>
        <v>0</v>
      </c>
      <c r="Q240" s="117">
        <f t="shared" si="313"/>
        <v>945</v>
      </c>
      <c r="R240" s="117">
        <f t="shared" si="314"/>
        <v>0</v>
      </c>
      <c r="S240" s="292">
        <f t="shared" si="415"/>
        <v>945</v>
      </c>
      <c r="T240" s="292">
        <f t="shared" si="415"/>
        <v>945</v>
      </c>
      <c r="U240" s="292">
        <f t="shared" si="415"/>
        <v>945</v>
      </c>
    </row>
    <row r="241" spans="1:21" ht="14.25">
      <c r="A241" s="34"/>
      <c r="B241" s="26" t="s">
        <v>174</v>
      </c>
      <c r="C241" s="12">
        <v>56</v>
      </c>
      <c r="D241" s="73">
        <f t="shared" ref="D241:U241" si="419">D262+D468+D971+D1045</f>
        <v>160</v>
      </c>
      <c r="E241" s="73">
        <f t="shared" ref="E241:F241" si="420">E262+E468+E971+E1045</f>
        <v>106</v>
      </c>
      <c r="F241" s="73">
        <f t="shared" si="420"/>
        <v>160</v>
      </c>
      <c r="G241" s="73">
        <f t="shared" si="419"/>
        <v>160</v>
      </c>
      <c r="H241" s="73">
        <f t="shared" si="419"/>
        <v>160</v>
      </c>
      <c r="I241" s="73">
        <f t="shared" si="419"/>
        <v>0</v>
      </c>
      <c r="J241" s="73">
        <f t="shared" si="419"/>
        <v>0</v>
      </c>
      <c r="K241" s="73">
        <f t="shared" ref="K241:L241" si="421">K262+K468+K971+K1045</f>
        <v>0</v>
      </c>
      <c r="L241" s="292">
        <f t="shared" si="421"/>
        <v>0</v>
      </c>
      <c r="M241" s="292">
        <f t="shared" ref="M241:P241" si="422">M262+M468+M971+M1045</f>
        <v>0</v>
      </c>
      <c r="N241" s="292">
        <f t="shared" si="422"/>
        <v>0</v>
      </c>
      <c r="O241" s="292">
        <f t="shared" si="422"/>
        <v>0</v>
      </c>
      <c r="P241" s="292">
        <f t="shared" si="422"/>
        <v>0</v>
      </c>
      <c r="Q241" s="117">
        <f t="shared" si="313"/>
        <v>0</v>
      </c>
      <c r="R241" s="117">
        <f t="shared" si="314"/>
        <v>0</v>
      </c>
      <c r="S241" s="292">
        <f t="shared" si="419"/>
        <v>0</v>
      </c>
      <c r="T241" s="292">
        <f t="shared" si="419"/>
        <v>0</v>
      </c>
      <c r="U241" s="292">
        <f t="shared" si="419"/>
        <v>0</v>
      </c>
    </row>
    <row r="242" spans="1:21" ht="14.25">
      <c r="A242" s="34"/>
      <c r="B242" s="26" t="s">
        <v>174</v>
      </c>
      <c r="C242" s="12">
        <v>58</v>
      </c>
      <c r="D242" s="75">
        <f t="shared" ref="D242:U242" si="423">D972+D263+D1046+D469</f>
        <v>1857.48</v>
      </c>
      <c r="E242" s="75">
        <f t="shared" ref="E242:F242" si="424">E972+E263+E1046+E469</f>
        <v>19751.27</v>
      </c>
      <c r="F242" s="75">
        <f t="shared" si="424"/>
        <v>64603</v>
      </c>
      <c r="G242" s="75">
        <f t="shared" si="423"/>
        <v>64088</v>
      </c>
      <c r="H242" s="75">
        <f t="shared" si="423"/>
        <v>64603</v>
      </c>
      <c r="I242" s="75">
        <f t="shared" si="423"/>
        <v>131504.52000000002</v>
      </c>
      <c r="J242" s="75">
        <f t="shared" si="423"/>
        <v>121286</v>
      </c>
      <c r="K242" s="75">
        <f t="shared" ref="K242:L242" si="425">K972+K263+K1046+K469</f>
        <v>126947.52</v>
      </c>
      <c r="L242" s="284">
        <f t="shared" si="425"/>
        <v>106129</v>
      </c>
      <c r="M242" s="284">
        <f t="shared" ref="M242:P242" si="426">M972+M263+M1046+M469</f>
        <v>29960</v>
      </c>
      <c r="N242" s="284">
        <f t="shared" si="426"/>
        <v>25401</v>
      </c>
      <c r="O242" s="284">
        <f t="shared" si="426"/>
        <v>25401</v>
      </c>
      <c r="P242" s="284">
        <f t="shared" si="426"/>
        <v>25367</v>
      </c>
      <c r="Q242" s="117">
        <f t="shared" si="313"/>
        <v>106129</v>
      </c>
      <c r="R242" s="117">
        <f t="shared" si="314"/>
        <v>0</v>
      </c>
      <c r="S242" s="284">
        <f t="shared" si="423"/>
        <v>151578</v>
      </c>
      <c r="T242" s="284">
        <f t="shared" si="423"/>
        <v>83182</v>
      </c>
      <c r="U242" s="284">
        <f t="shared" si="423"/>
        <v>14325</v>
      </c>
    </row>
    <row r="243" spans="1:21" ht="14.25">
      <c r="A243" s="34"/>
      <c r="B243" s="26" t="s">
        <v>175</v>
      </c>
      <c r="C243" s="12">
        <v>70</v>
      </c>
      <c r="D243" s="73">
        <f t="shared" ref="D243:U243" si="427">D264+D425+D470+D973+D1047</f>
        <v>11837</v>
      </c>
      <c r="E243" s="73">
        <f t="shared" ref="E243:F243" si="428">E264+E425+E470+E973+E1047</f>
        <v>46004.63</v>
      </c>
      <c r="F243" s="73">
        <f t="shared" si="428"/>
        <v>61094.14</v>
      </c>
      <c r="G243" s="73">
        <f t="shared" si="427"/>
        <v>34374</v>
      </c>
      <c r="H243" s="73">
        <f t="shared" si="427"/>
        <v>61093.840000000004</v>
      </c>
      <c r="I243" s="73">
        <f t="shared" si="427"/>
        <v>126800.44</v>
      </c>
      <c r="J243" s="73">
        <f t="shared" si="427"/>
        <v>62712</v>
      </c>
      <c r="K243" s="73">
        <f t="shared" ref="K243:L243" si="429">K264+K425+K470+K973+K1047</f>
        <v>5353.4400000000005</v>
      </c>
      <c r="L243" s="292">
        <f t="shared" si="429"/>
        <v>53365</v>
      </c>
      <c r="M243" s="292">
        <f t="shared" ref="M243:P243" si="430">M264+M425+M470+M973+M1047</f>
        <v>32391</v>
      </c>
      <c r="N243" s="292">
        <f t="shared" si="430"/>
        <v>7974</v>
      </c>
      <c r="O243" s="292">
        <f t="shared" si="430"/>
        <v>7000</v>
      </c>
      <c r="P243" s="292">
        <f t="shared" si="430"/>
        <v>6000</v>
      </c>
      <c r="Q243" s="117">
        <f t="shared" si="313"/>
        <v>53365</v>
      </c>
      <c r="R243" s="117">
        <f t="shared" si="314"/>
        <v>0</v>
      </c>
      <c r="S243" s="292">
        <f t="shared" si="427"/>
        <v>63423</v>
      </c>
      <c r="T243" s="292">
        <f t="shared" si="427"/>
        <v>821</v>
      </c>
      <c r="U243" s="292">
        <f t="shared" si="427"/>
        <v>0</v>
      </c>
    </row>
    <row r="244" spans="1:21" ht="20.25" hidden="1" customHeight="1">
      <c r="A244" s="34"/>
      <c r="B244" s="33" t="s">
        <v>164</v>
      </c>
      <c r="C244" s="12">
        <v>85.01</v>
      </c>
      <c r="D244" s="75"/>
      <c r="E244" s="197"/>
      <c r="F244" s="75"/>
      <c r="G244" s="75"/>
      <c r="H244" s="75"/>
      <c r="I244" s="197"/>
      <c r="J244" s="197"/>
      <c r="K244" s="197"/>
      <c r="L244" s="282"/>
      <c r="M244" s="282"/>
      <c r="N244" s="282"/>
      <c r="O244" s="282"/>
      <c r="P244" s="282"/>
      <c r="Q244" s="117">
        <f t="shared" si="313"/>
        <v>0</v>
      </c>
      <c r="R244" s="117">
        <f t="shared" si="314"/>
        <v>0</v>
      </c>
      <c r="S244" s="282"/>
      <c r="T244" s="282"/>
      <c r="U244" s="282"/>
    </row>
    <row r="245" spans="1:21" ht="17.25" customHeight="1">
      <c r="A245" s="42" t="s">
        <v>3</v>
      </c>
      <c r="B245" s="43" t="s">
        <v>468</v>
      </c>
      <c r="C245" s="88">
        <v>50.02</v>
      </c>
      <c r="D245" s="121">
        <f t="shared" ref="D245:U245" si="431">D265+D383+D411</f>
        <v>42791.9</v>
      </c>
      <c r="E245" s="121">
        <f t="shared" ref="E245:F245" si="432">E265+E383+E411</f>
        <v>42619.090000000004</v>
      </c>
      <c r="F245" s="121">
        <f t="shared" si="432"/>
        <v>65472</v>
      </c>
      <c r="G245" s="121">
        <f t="shared" si="431"/>
        <v>62717</v>
      </c>
      <c r="H245" s="121">
        <f t="shared" si="431"/>
        <v>65472</v>
      </c>
      <c r="I245" s="121">
        <f t="shared" si="431"/>
        <v>93785</v>
      </c>
      <c r="J245" s="121">
        <f t="shared" si="431"/>
        <v>87758</v>
      </c>
      <c r="K245" s="121">
        <f t="shared" ref="K245:L245" si="433">K265+K383+K411</f>
        <v>65013</v>
      </c>
      <c r="L245" s="293">
        <f t="shared" si="433"/>
        <v>92443</v>
      </c>
      <c r="M245" s="293">
        <f t="shared" ref="M245:P245" si="434">M265+M383+M411</f>
        <v>19524</v>
      </c>
      <c r="N245" s="293">
        <f t="shared" si="434"/>
        <v>23951</v>
      </c>
      <c r="O245" s="293">
        <f t="shared" si="434"/>
        <v>25551</v>
      </c>
      <c r="P245" s="293">
        <f t="shared" si="434"/>
        <v>23417</v>
      </c>
      <c r="Q245" s="117">
        <f t="shared" si="313"/>
        <v>92443</v>
      </c>
      <c r="R245" s="117">
        <f t="shared" si="314"/>
        <v>0</v>
      </c>
      <c r="S245" s="293">
        <f t="shared" si="431"/>
        <v>153288</v>
      </c>
      <c r="T245" s="293">
        <f t="shared" si="431"/>
        <v>104180</v>
      </c>
      <c r="U245" s="293">
        <f t="shared" si="431"/>
        <v>59831</v>
      </c>
    </row>
    <row r="246" spans="1:21" ht="18.75" customHeight="1">
      <c r="A246" s="44"/>
      <c r="B246" s="24" t="s">
        <v>153</v>
      </c>
      <c r="C246" s="89"/>
      <c r="D246" s="121">
        <f t="shared" ref="D246:U246" si="435">D266+D385+D389+D398+D408+D412</f>
        <v>41503</v>
      </c>
      <c r="E246" s="121">
        <f t="shared" ref="E246:F246" si="436">E266+E385+E389+E398+E408+E412</f>
        <v>41333.760000000002</v>
      </c>
      <c r="F246" s="121">
        <f t="shared" si="436"/>
        <v>48684</v>
      </c>
      <c r="G246" s="121">
        <f t="shared" si="435"/>
        <v>46693</v>
      </c>
      <c r="H246" s="121">
        <f t="shared" si="435"/>
        <v>48684</v>
      </c>
      <c r="I246" s="121">
        <f t="shared" si="435"/>
        <v>48354</v>
      </c>
      <c r="J246" s="121">
        <f t="shared" si="435"/>
        <v>42838</v>
      </c>
      <c r="K246" s="121">
        <f t="shared" ref="K246:L246" si="437">K266+K385+K389+K398+K408+K412</f>
        <v>40750</v>
      </c>
      <c r="L246" s="293">
        <f t="shared" si="437"/>
        <v>48658</v>
      </c>
      <c r="M246" s="293">
        <f t="shared" ref="M246:P246" si="438">M266+M385+M389+M398+M408+M412</f>
        <v>11225</v>
      </c>
      <c r="N246" s="293">
        <f t="shared" si="438"/>
        <v>11785</v>
      </c>
      <c r="O246" s="293">
        <f t="shared" si="438"/>
        <v>13385</v>
      </c>
      <c r="P246" s="293">
        <f t="shared" si="438"/>
        <v>12263</v>
      </c>
      <c r="Q246" s="117">
        <f t="shared" si="313"/>
        <v>48658</v>
      </c>
      <c r="R246" s="117">
        <f t="shared" si="314"/>
        <v>0</v>
      </c>
      <c r="S246" s="293">
        <f t="shared" si="435"/>
        <v>45710</v>
      </c>
      <c r="T246" s="293">
        <f t="shared" si="435"/>
        <v>45608</v>
      </c>
      <c r="U246" s="293">
        <f t="shared" si="435"/>
        <v>45506</v>
      </c>
    </row>
    <row r="247" spans="1:21" ht="15">
      <c r="A247" s="34"/>
      <c r="B247" s="33" t="s">
        <v>154</v>
      </c>
      <c r="C247" s="12"/>
      <c r="D247" s="68">
        <f t="shared" ref="D247:U247" si="439">D267+D386+D390+D409+D413</f>
        <v>35892</v>
      </c>
      <c r="E247" s="68">
        <f t="shared" ref="E247:F247" si="440">E267+E386+E390+E409+E413</f>
        <v>35715.760000000002</v>
      </c>
      <c r="F247" s="68">
        <f t="shared" si="440"/>
        <v>42884</v>
      </c>
      <c r="G247" s="68">
        <f t="shared" si="439"/>
        <v>40893</v>
      </c>
      <c r="H247" s="68">
        <f t="shared" si="439"/>
        <v>42884</v>
      </c>
      <c r="I247" s="68">
        <f t="shared" si="439"/>
        <v>42554</v>
      </c>
      <c r="J247" s="68">
        <f t="shared" si="439"/>
        <v>37038</v>
      </c>
      <c r="K247" s="68">
        <f t="shared" ref="K247:L247" si="441">K267+K386+K390+K409+K413</f>
        <v>34950</v>
      </c>
      <c r="L247" s="176">
        <f t="shared" si="441"/>
        <v>42858</v>
      </c>
      <c r="M247" s="176">
        <f t="shared" ref="M247:P247" si="442">M267+M386+M390+M409+M413</f>
        <v>9725</v>
      </c>
      <c r="N247" s="176">
        <f t="shared" si="442"/>
        <v>10285</v>
      </c>
      <c r="O247" s="176">
        <f t="shared" si="442"/>
        <v>11885</v>
      </c>
      <c r="P247" s="176">
        <f t="shared" si="442"/>
        <v>10963</v>
      </c>
      <c r="Q247" s="117">
        <f t="shared" si="313"/>
        <v>42858</v>
      </c>
      <c r="R247" s="117">
        <f t="shared" si="314"/>
        <v>0</v>
      </c>
      <c r="S247" s="176">
        <f t="shared" si="439"/>
        <v>39910</v>
      </c>
      <c r="T247" s="176">
        <f t="shared" si="439"/>
        <v>39808</v>
      </c>
      <c r="U247" s="176">
        <f t="shared" si="439"/>
        <v>39706</v>
      </c>
    </row>
    <row r="248" spans="1:21" ht="15">
      <c r="A248" s="34"/>
      <c r="B248" s="33" t="s">
        <v>155</v>
      </c>
      <c r="C248" s="12">
        <v>10</v>
      </c>
      <c r="D248" s="69">
        <f t="shared" ref="D248:U248" si="443">D268+D404</f>
        <v>25179</v>
      </c>
      <c r="E248" s="69">
        <f t="shared" ref="E248:F248" si="444">E268+E404</f>
        <v>24379.55</v>
      </c>
      <c r="F248" s="69">
        <f t="shared" si="444"/>
        <v>25577</v>
      </c>
      <c r="G248" s="69">
        <f t="shared" si="443"/>
        <v>28000</v>
      </c>
      <c r="H248" s="69">
        <f t="shared" si="443"/>
        <v>25577</v>
      </c>
      <c r="I248" s="69">
        <f t="shared" si="443"/>
        <v>30342</v>
      </c>
      <c r="J248" s="69">
        <f t="shared" si="443"/>
        <v>25725</v>
      </c>
      <c r="K248" s="69">
        <f t="shared" ref="K248:L248" si="445">K268+K404</f>
        <v>29951</v>
      </c>
      <c r="L248" s="283">
        <f t="shared" si="445"/>
        <v>28000</v>
      </c>
      <c r="M248" s="283">
        <f t="shared" ref="M248:P248" si="446">M268+M404</f>
        <v>6500</v>
      </c>
      <c r="N248" s="283">
        <f t="shared" si="446"/>
        <v>6800</v>
      </c>
      <c r="O248" s="283">
        <f t="shared" si="446"/>
        <v>6900</v>
      </c>
      <c r="P248" s="283">
        <f t="shared" si="446"/>
        <v>7800</v>
      </c>
      <c r="Q248" s="117">
        <f t="shared" si="313"/>
        <v>28000</v>
      </c>
      <c r="R248" s="117">
        <f t="shared" si="314"/>
        <v>0</v>
      </c>
      <c r="S248" s="283">
        <f t="shared" si="443"/>
        <v>28000</v>
      </c>
      <c r="T248" s="283">
        <f t="shared" si="443"/>
        <v>28000</v>
      </c>
      <c r="U248" s="283">
        <f t="shared" si="443"/>
        <v>28000</v>
      </c>
    </row>
    <row r="249" spans="1:21" ht="15">
      <c r="A249" s="34"/>
      <c r="B249" s="33" t="s">
        <v>588</v>
      </c>
      <c r="C249" s="12">
        <v>20</v>
      </c>
      <c r="D249" s="69">
        <f t="shared" ref="D249:U249" si="447">D269+D414+D405</f>
        <v>6658</v>
      </c>
      <c r="E249" s="69">
        <f t="shared" ref="E249:F249" si="448">E269+E414+E405</f>
        <v>6900.56</v>
      </c>
      <c r="F249" s="69">
        <f t="shared" si="448"/>
        <v>11724</v>
      </c>
      <c r="G249" s="69">
        <f t="shared" si="447"/>
        <v>7073</v>
      </c>
      <c r="H249" s="69">
        <f t="shared" si="447"/>
        <v>11724</v>
      </c>
      <c r="I249" s="69">
        <f t="shared" si="447"/>
        <v>7013</v>
      </c>
      <c r="J249" s="69">
        <f t="shared" si="447"/>
        <v>6213</v>
      </c>
      <c r="K249" s="69">
        <f t="shared" ref="K249:L249" si="449">K269+K414+K405</f>
        <v>13</v>
      </c>
      <c r="L249" s="283">
        <f t="shared" si="449"/>
        <v>9813</v>
      </c>
      <c r="M249" s="283">
        <f t="shared" ref="M249:P249" si="450">M269+M414+M405</f>
        <v>2000</v>
      </c>
      <c r="N249" s="283">
        <f t="shared" si="450"/>
        <v>2035</v>
      </c>
      <c r="O249" s="283">
        <f t="shared" si="450"/>
        <v>3645</v>
      </c>
      <c r="P249" s="283">
        <f t="shared" si="450"/>
        <v>2133</v>
      </c>
      <c r="Q249" s="117">
        <f t="shared" si="313"/>
        <v>9813</v>
      </c>
      <c r="R249" s="117">
        <f t="shared" si="314"/>
        <v>0</v>
      </c>
      <c r="S249" s="283">
        <f t="shared" si="447"/>
        <v>7010</v>
      </c>
      <c r="T249" s="283">
        <f t="shared" si="447"/>
        <v>7008</v>
      </c>
      <c r="U249" s="283">
        <f t="shared" si="447"/>
        <v>7006</v>
      </c>
    </row>
    <row r="250" spans="1:21" ht="15">
      <c r="A250" s="34"/>
      <c r="B250" s="33" t="s">
        <v>157</v>
      </c>
      <c r="C250" s="12">
        <v>30</v>
      </c>
      <c r="D250" s="69">
        <f t="shared" ref="D250:U250" si="451">D415</f>
        <v>1129</v>
      </c>
      <c r="E250" s="69">
        <f t="shared" ref="E250:F250" si="452">E415</f>
        <v>847</v>
      </c>
      <c r="F250" s="69">
        <f t="shared" si="452"/>
        <v>1300</v>
      </c>
      <c r="G250" s="69">
        <f t="shared" si="451"/>
        <v>1300</v>
      </c>
      <c r="H250" s="69">
        <f t="shared" si="451"/>
        <v>1300</v>
      </c>
      <c r="I250" s="69">
        <f t="shared" si="451"/>
        <v>1100</v>
      </c>
      <c r="J250" s="69">
        <f t="shared" si="451"/>
        <v>1100</v>
      </c>
      <c r="K250" s="69">
        <f t="shared" ref="K250:L250" si="453">K415</f>
        <v>1100</v>
      </c>
      <c r="L250" s="283">
        <f t="shared" si="453"/>
        <v>1000</v>
      </c>
      <c r="M250" s="283">
        <f t="shared" ref="M250:P250" si="454">M415</f>
        <v>325</v>
      </c>
      <c r="N250" s="283">
        <f t="shared" si="454"/>
        <v>250</v>
      </c>
      <c r="O250" s="283">
        <f t="shared" si="454"/>
        <v>250</v>
      </c>
      <c r="P250" s="283">
        <f t="shared" si="454"/>
        <v>175</v>
      </c>
      <c r="Q250" s="117">
        <f t="shared" si="313"/>
        <v>1000</v>
      </c>
      <c r="R250" s="117">
        <f t="shared" si="314"/>
        <v>0</v>
      </c>
      <c r="S250" s="283">
        <f t="shared" si="451"/>
        <v>900</v>
      </c>
      <c r="T250" s="283">
        <f t="shared" si="451"/>
        <v>800</v>
      </c>
      <c r="U250" s="283">
        <f t="shared" si="451"/>
        <v>700</v>
      </c>
    </row>
    <row r="251" spans="1:21" ht="15">
      <c r="A251" s="34"/>
      <c r="B251" s="33" t="s">
        <v>176</v>
      </c>
      <c r="C251" s="12">
        <v>50</v>
      </c>
      <c r="D251" s="69">
        <f t="shared" ref="D251:U251" si="455">D387</f>
        <v>0</v>
      </c>
      <c r="E251" s="69">
        <f t="shared" ref="E251:F251" si="456">E387</f>
        <v>0</v>
      </c>
      <c r="F251" s="69">
        <f t="shared" si="456"/>
        <v>500</v>
      </c>
      <c r="G251" s="69">
        <f t="shared" si="455"/>
        <v>500</v>
      </c>
      <c r="H251" s="69">
        <f t="shared" si="455"/>
        <v>500</v>
      </c>
      <c r="I251" s="69">
        <f t="shared" si="455"/>
        <v>500</v>
      </c>
      <c r="J251" s="69">
        <f t="shared" si="455"/>
        <v>500</v>
      </c>
      <c r="K251" s="69">
        <f t="shared" ref="K251:L251" si="457">K387</f>
        <v>500</v>
      </c>
      <c r="L251" s="283">
        <f t="shared" si="457"/>
        <v>500</v>
      </c>
      <c r="M251" s="283">
        <f t="shared" ref="M251:P251" si="458">M387</f>
        <v>0</v>
      </c>
      <c r="N251" s="283">
        <f t="shared" si="458"/>
        <v>300</v>
      </c>
      <c r="O251" s="283">
        <f t="shared" si="458"/>
        <v>200</v>
      </c>
      <c r="P251" s="283">
        <f t="shared" si="458"/>
        <v>0</v>
      </c>
      <c r="Q251" s="117">
        <f t="shared" si="313"/>
        <v>500</v>
      </c>
      <c r="R251" s="117">
        <f t="shared" si="314"/>
        <v>0</v>
      </c>
      <c r="S251" s="283">
        <f t="shared" si="455"/>
        <v>500</v>
      </c>
      <c r="T251" s="283">
        <f t="shared" si="455"/>
        <v>500</v>
      </c>
      <c r="U251" s="283">
        <f t="shared" si="455"/>
        <v>500</v>
      </c>
    </row>
    <row r="252" spans="1:21" ht="15">
      <c r="A252" s="34"/>
      <c r="B252" s="33" t="s">
        <v>159</v>
      </c>
      <c r="C252" s="12">
        <v>51</v>
      </c>
      <c r="D252" s="69">
        <f t="shared" ref="D252:U252" si="459">D391+D410</f>
        <v>2714</v>
      </c>
      <c r="E252" s="69">
        <f t="shared" ref="E252:F252" si="460">E391+E410</f>
        <v>3334</v>
      </c>
      <c r="F252" s="69">
        <f t="shared" si="460"/>
        <v>3511</v>
      </c>
      <c r="G252" s="69">
        <f t="shared" si="459"/>
        <v>3820</v>
      </c>
      <c r="H252" s="69">
        <f t="shared" si="459"/>
        <v>3511</v>
      </c>
      <c r="I252" s="69">
        <f t="shared" si="459"/>
        <v>3299</v>
      </c>
      <c r="J252" s="69">
        <f t="shared" si="459"/>
        <v>3200</v>
      </c>
      <c r="K252" s="69">
        <f t="shared" ref="K252:L252" si="461">K391+K410</f>
        <v>3386</v>
      </c>
      <c r="L252" s="283">
        <f t="shared" si="461"/>
        <v>3255</v>
      </c>
      <c r="M252" s="283">
        <f t="shared" ref="M252:P252" si="462">M391+M410</f>
        <v>800</v>
      </c>
      <c r="N252" s="283">
        <f t="shared" si="462"/>
        <v>800</v>
      </c>
      <c r="O252" s="283">
        <f t="shared" si="462"/>
        <v>800</v>
      </c>
      <c r="P252" s="283">
        <f t="shared" si="462"/>
        <v>855</v>
      </c>
      <c r="Q252" s="117">
        <f t="shared" si="313"/>
        <v>3255</v>
      </c>
      <c r="R252" s="117">
        <f t="shared" si="314"/>
        <v>0</v>
      </c>
      <c r="S252" s="283">
        <f t="shared" si="459"/>
        <v>3300</v>
      </c>
      <c r="T252" s="283">
        <f t="shared" si="459"/>
        <v>3300</v>
      </c>
      <c r="U252" s="283">
        <f t="shared" si="459"/>
        <v>3300</v>
      </c>
    </row>
    <row r="253" spans="1:21" ht="15" customHeight="1">
      <c r="A253" s="34"/>
      <c r="B253" s="33" t="s">
        <v>160</v>
      </c>
      <c r="C253" s="12">
        <v>55</v>
      </c>
      <c r="D253" s="69">
        <f t="shared" ref="D253:U254" si="463">D270</f>
        <v>0</v>
      </c>
      <c r="E253" s="69">
        <f t="shared" si="463"/>
        <v>0</v>
      </c>
      <c r="F253" s="69">
        <f>F270</f>
        <v>0</v>
      </c>
      <c r="G253" s="69">
        <f>G270</f>
        <v>0</v>
      </c>
      <c r="H253" s="69">
        <f>H270</f>
        <v>0</v>
      </c>
      <c r="I253" s="69">
        <f t="shared" ref="I253:U253" si="464">I270</f>
        <v>0</v>
      </c>
      <c r="J253" s="69">
        <f t="shared" si="464"/>
        <v>0</v>
      </c>
      <c r="K253" s="69">
        <f t="shared" ref="K253:L253" si="465">K270</f>
        <v>0</v>
      </c>
      <c r="L253" s="283">
        <f t="shared" si="465"/>
        <v>0</v>
      </c>
      <c r="M253" s="283">
        <f t="shared" ref="M253:P253" si="466">M270</f>
        <v>0</v>
      </c>
      <c r="N253" s="283">
        <f t="shared" si="466"/>
        <v>0</v>
      </c>
      <c r="O253" s="283">
        <f t="shared" si="466"/>
        <v>0</v>
      </c>
      <c r="P253" s="283">
        <f t="shared" si="466"/>
        <v>0</v>
      </c>
      <c r="Q253" s="117">
        <f t="shared" si="313"/>
        <v>0</v>
      </c>
      <c r="R253" s="117">
        <f t="shared" si="314"/>
        <v>0</v>
      </c>
      <c r="S253" s="283">
        <f t="shared" si="464"/>
        <v>0</v>
      </c>
      <c r="T253" s="283">
        <f t="shared" si="464"/>
        <v>0</v>
      </c>
      <c r="U253" s="283">
        <f t="shared" si="464"/>
        <v>0</v>
      </c>
    </row>
    <row r="254" spans="1:21" ht="15">
      <c r="A254" s="34"/>
      <c r="B254" s="21" t="s">
        <v>177</v>
      </c>
      <c r="C254" s="12">
        <v>57</v>
      </c>
      <c r="D254" s="69">
        <f t="shared" si="463"/>
        <v>66</v>
      </c>
      <c r="E254" s="69">
        <f t="shared" ref="E254:F254" si="467">E271</f>
        <v>0</v>
      </c>
      <c r="F254" s="69">
        <f t="shared" si="467"/>
        <v>0</v>
      </c>
      <c r="G254" s="69">
        <f t="shared" si="463"/>
        <v>0</v>
      </c>
      <c r="H254" s="69">
        <f t="shared" si="463"/>
        <v>0</v>
      </c>
      <c r="I254" s="69">
        <f t="shared" si="463"/>
        <v>0</v>
      </c>
      <c r="J254" s="69">
        <f t="shared" si="463"/>
        <v>0</v>
      </c>
      <c r="K254" s="69">
        <f t="shared" ref="K254:L254" si="468">K271</f>
        <v>0</v>
      </c>
      <c r="L254" s="283">
        <f t="shared" si="468"/>
        <v>0</v>
      </c>
      <c r="M254" s="283">
        <f t="shared" ref="M254:P254" si="469">M271</f>
        <v>0</v>
      </c>
      <c r="N254" s="283">
        <f t="shared" si="469"/>
        <v>0</v>
      </c>
      <c r="O254" s="283">
        <f t="shared" si="469"/>
        <v>0</v>
      </c>
      <c r="P254" s="283">
        <f t="shared" si="469"/>
        <v>0</v>
      </c>
      <c r="Q254" s="117">
        <f t="shared" si="313"/>
        <v>0</v>
      </c>
      <c r="R254" s="117">
        <f t="shared" si="314"/>
        <v>0</v>
      </c>
      <c r="S254" s="283">
        <f t="shared" si="463"/>
        <v>0</v>
      </c>
      <c r="T254" s="283">
        <f t="shared" si="463"/>
        <v>0</v>
      </c>
      <c r="U254" s="283">
        <f t="shared" si="463"/>
        <v>0</v>
      </c>
    </row>
    <row r="255" spans="1:21" ht="15">
      <c r="A255" s="34"/>
      <c r="B255" s="33" t="s">
        <v>178</v>
      </c>
      <c r="C255" s="12">
        <v>59</v>
      </c>
      <c r="D255" s="69">
        <f t="shared" ref="D255:U255" si="470">D273</f>
        <v>146</v>
      </c>
      <c r="E255" s="69">
        <f t="shared" ref="E255:F255" si="471">E273</f>
        <v>254.65</v>
      </c>
      <c r="F255" s="69">
        <f t="shared" si="471"/>
        <v>272</v>
      </c>
      <c r="G255" s="69">
        <f t="shared" si="470"/>
        <v>200</v>
      </c>
      <c r="H255" s="69">
        <f t="shared" si="470"/>
        <v>272</v>
      </c>
      <c r="I255" s="69">
        <f t="shared" si="470"/>
        <v>300</v>
      </c>
      <c r="J255" s="69">
        <f t="shared" si="470"/>
        <v>300</v>
      </c>
      <c r="K255" s="69">
        <f t="shared" ref="K255:L255" si="472">K273</f>
        <v>0</v>
      </c>
      <c r="L255" s="283">
        <f t="shared" si="472"/>
        <v>290</v>
      </c>
      <c r="M255" s="283">
        <f t="shared" ref="M255:P255" si="473">M273</f>
        <v>100</v>
      </c>
      <c r="N255" s="283">
        <f t="shared" si="473"/>
        <v>100</v>
      </c>
      <c r="O255" s="283">
        <f t="shared" si="473"/>
        <v>90</v>
      </c>
      <c r="P255" s="283">
        <f t="shared" si="473"/>
        <v>0</v>
      </c>
      <c r="Q255" s="117">
        <f t="shared" si="313"/>
        <v>290</v>
      </c>
      <c r="R255" s="117">
        <f t="shared" si="314"/>
        <v>0</v>
      </c>
      <c r="S255" s="283">
        <f t="shared" si="470"/>
        <v>200</v>
      </c>
      <c r="T255" s="283">
        <f t="shared" si="470"/>
        <v>200</v>
      </c>
      <c r="U255" s="283">
        <f t="shared" si="470"/>
        <v>200</v>
      </c>
    </row>
    <row r="256" spans="1:21" ht="15">
      <c r="A256" s="34"/>
      <c r="B256" s="33" t="s">
        <v>163</v>
      </c>
      <c r="C256" s="12">
        <v>79</v>
      </c>
      <c r="D256" s="69">
        <f t="shared" ref="D256:U256" si="474">D399</f>
        <v>5685</v>
      </c>
      <c r="E256" s="69">
        <f t="shared" ref="E256:F256" si="475">E399</f>
        <v>5720</v>
      </c>
      <c r="F256" s="69">
        <f t="shared" si="475"/>
        <v>5800</v>
      </c>
      <c r="G256" s="69">
        <f t="shared" si="474"/>
        <v>5800</v>
      </c>
      <c r="H256" s="69">
        <f t="shared" si="474"/>
        <v>5800</v>
      </c>
      <c r="I256" s="69">
        <f t="shared" si="474"/>
        <v>5800</v>
      </c>
      <c r="J256" s="69">
        <f t="shared" si="474"/>
        <v>5800</v>
      </c>
      <c r="K256" s="69">
        <f t="shared" ref="K256:L256" si="476">K399</f>
        <v>5800</v>
      </c>
      <c r="L256" s="283">
        <f t="shared" si="476"/>
        <v>5800</v>
      </c>
      <c r="M256" s="283">
        <f t="shared" ref="M256:P256" si="477">M399</f>
        <v>1500</v>
      </c>
      <c r="N256" s="283">
        <f t="shared" si="477"/>
        <v>1500</v>
      </c>
      <c r="O256" s="283">
        <f t="shared" si="477"/>
        <v>1500</v>
      </c>
      <c r="P256" s="283">
        <f t="shared" si="477"/>
        <v>1300</v>
      </c>
      <c r="Q256" s="117">
        <f t="shared" si="313"/>
        <v>5800</v>
      </c>
      <c r="R256" s="117">
        <f t="shared" si="314"/>
        <v>0</v>
      </c>
      <c r="S256" s="283">
        <f t="shared" si="474"/>
        <v>5800</v>
      </c>
      <c r="T256" s="283">
        <f t="shared" si="474"/>
        <v>5800</v>
      </c>
      <c r="U256" s="283">
        <f t="shared" si="474"/>
        <v>5800</v>
      </c>
    </row>
    <row r="257" spans="1:21" ht="15.75" hidden="1" customHeight="1">
      <c r="A257" s="34"/>
      <c r="B257" s="33" t="s">
        <v>164</v>
      </c>
      <c r="C257" s="12">
        <v>85.01</v>
      </c>
      <c r="D257" s="69">
        <f t="shared" ref="D257:H257" si="478">D272</f>
        <v>-74</v>
      </c>
      <c r="E257" s="197"/>
      <c r="F257" s="69">
        <f t="shared" ref="F257" si="479">F272</f>
        <v>0</v>
      </c>
      <c r="G257" s="69">
        <f t="shared" si="478"/>
        <v>0</v>
      </c>
      <c r="H257" s="69">
        <f t="shared" si="478"/>
        <v>0</v>
      </c>
      <c r="I257" s="197"/>
      <c r="J257" s="197"/>
      <c r="K257" s="197"/>
      <c r="L257" s="282"/>
      <c r="M257" s="282"/>
      <c r="N257" s="282"/>
      <c r="O257" s="282"/>
      <c r="P257" s="282"/>
      <c r="Q257" s="117">
        <f t="shared" si="313"/>
        <v>0</v>
      </c>
      <c r="R257" s="117">
        <f t="shared" si="314"/>
        <v>0</v>
      </c>
      <c r="S257" s="282"/>
      <c r="T257" s="282"/>
      <c r="U257" s="282"/>
    </row>
    <row r="258" spans="1:21" ht="12.75" customHeight="1">
      <c r="A258" s="34"/>
      <c r="B258" s="26" t="s">
        <v>165</v>
      </c>
      <c r="C258" s="12"/>
      <c r="D258" s="69">
        <f t="shared" ref="D258:U258" si="480">D261+D262+D264+D259+D263</f>
        <v>1288.9000000000001</v>
      </c>
      <c r="E258" s="69">
        <f t="shared" ref="E258:F258" si="481">E261+E262+E264+E259+E263</f>
        <v>1250.33</v>
      </c>
      <c r="F258" s="69">
        <f t="shared" si="481"/>
        <v>16788</v>
      </c>
      <c r="G258" s="69">
        <f t="shared" si="480"/>
        <v>16024</v>
      </c>
      <c r="H258" s="69">
        <f t="shared" si="480"/>
        <v>16788</v>
      </c>
      <c r="I258" s="69">
        <f t="shared" si="480"/>
        <v>45420</v>
      </c>
      <c r="J258" s="69">
        <f t="shared" si="480"/>
        <v>44920</v>
      </c>
      <c r="K258" s="69">
        <f t="shared" ref="K258:L258" si="482">K261+K262+K264+K259+K263</f>
        <v>24252</v>
      </c>
      <c r="L258" s="283">
        <f t="shared" si="482"/>
        <v>43785</v>
      </c>
      <c r="M258" s="283">
        <f t="shared" ref="M258:P258" si="483">M261+M262+M264+M259+M263</f>
        <v>8299</v>
      </c>
      <c r="N258" s="283">
        <f t="shared" si="483"/>
        <v>12166</v>
      </c>
      <c r="O258" s="283">
        <f t="shared" si="483"/>
        <v>12166</v>
      </c>
      <c r="P258" s="283">
        <f t="shared" si="483"/>
        <v>11154</v>
      </c>
      <c r="Q258" s="117">
        <f t="shared" si="313"/>
        <v>43785</v>
      </c>
      <c r="R258" s="117">
        <f t="shared" si="314"/>
        <v>0</v>
      </c>
      <c r="S258" s="283">
        <f t="shared" si="480"/>
        <v>107578</v>
      </c>
      <c r="T258" s="283">
        <f t="shared" si="480"/>
        <v>58572</v>
      </c>
      <c r="U258" s="283">
        <f t="shared" si="480"/>
        <v>14325</v>
      </c>
    </row>
    <row r="259" spans="1:21" ht="17.25" hidden="1" customHeight="1">
      <c r="A259" s="34"/>
      <c r="B259" s="33" t="s">
        <v>179</v>
      </c>
      <c r="C259" s="12">
        <v>51</v>
      </c>
      <c r="D259" s="69">
        <f t="shared" ref="D259:H259" si="484">D396</f>
        <v>9</v>
      </c>
      <c r="E259" s="197"/>
      <c r="F259" s="69">
        <f t="shared" ref="F259" si="485">F396</f>
        <v>37</v>
      </c>
      <c r="G259" s="69">
        <f t="shared" si="484"/>
        <v>28</v>
      </c>
      <c r="H259" s="69">
        <f t="shared" si="484"/>
        <v>37</v>
      </c>
      <c r="I259" s="197"/>
      <c r="J259" s="197"/>
      <c r="K259" s="197"/>
      <c r="L259" s="282"/>
      <c r="M259" s="282"/>
      <c r="N259" s="282"/>
      <c r="O259" s="282"/>
      <c r="P259" s="282"/>
      <c r="Q259" s="117">
        <f t="shared" si="313"/>
        <v>0</v>
      </c>
      <c r="R259" s="117">
        <f t="shared" si="314"/>
        <v>0</v>
      </c>
      <c r="S259" s="282"/>
      <c r="T259" s="282"/>
      <c r="U259" s="282"/>
    </row>
    <row r="260" spans="1:21" ht="15" hidden="1" customHeight="1">
      <c r="A260" s="34"/>
      <c r="B260" s="33" t="s">
        <v>180</v>
      </c>
      <c r="C260" s="12" t="s">
        <v>172</v>
      </c>
      <c r="D260" s="69">
        <f t="shared" ref="D260:H260" si="486">D396</f>
        <v>9</v>
      </c>
      <c r="E260" s="197"/>
      <c r="F260" s="69">
        <f t="shared" ref="F260" si="487">F396</f>
        <v>37</v>
      </c>
      <c r="G260" s="69">
        <f t="shared" si="486"/>
        <v>28</v>
      </c>
      <c r="H260" s="69">
        <f t="shared" si="486"/>
        <v>37</v>
      </c>
      <c r="I260" s="197"/>
      <c r="J260" s="197"/>
      <c r="K260" s="197"/>
      <c r="L260" s="282"/>
      <c r="M260" s="282"/>
      <c r="N260" s="282"/>
      <c r="O260" s="282"/>
      <c r="P260" s="282"/>
      <c r="Q260" s="117">
        <f t="shared" si="313"/>
        <v>0</v>
      </c>
      <c r="R260" s="117">
        <f t="shared" si="314"/>
        <v>0</v>
      </c>
      <c r="S260" s="282"/>
      <c r="T260" s="282"/>
      <c r="U260" s="282"/>
    </row>
    <row r="261" spans="1:21" ht="15" hidden="1" customHeight="1">
      <c r="A261" s="34"/>
      <c r="B261" s="21" t="s">
        <v>181</v>
      </c>
      <c r="C261" s="12">
        <v>55</v>
      </c>
      <c r="D261" s="69">
        <f t="shared" ref="D261:H261" si="488">D277</f>
        <v>0</v>
      </c>
      <c r="E261" s="197"/>
      <c r="F261" s="69">
        <f t="shared" ref="F261" si="489">F277</f>
        <v>0</v>
      </c>
      <c r="G261" s="69">
        <f t="shared" si="488"/>
        <v>0</v>
      </c>
      <c r="H261" s="69">
        <f t="shared" si="488"/>
        <v>0</v>
      </c>
      <c r="I261" s="197"/>
      <c r="J261" s="197"/>
      <c r="K261" s="197"/>
      <c r="L261" s="282"/>
      <c r="M261" s="282"/>
      <c r="N261" s="282"/>
      <c r="O261" s="282"/>
      <c r="P261" s="282"/>
      <c r="Q261" s="117">
        <f t="shared" si="313"/>
        <v>0</v>
      </c>
      <c r="R261" s="117">
        <f t="shared" si="314"/>
        <v>0</v>
      </c>
      <c r="S261" s="282"/>
      <c r="T261" s="282"/>
      <c r="U261" s="282"/>
    </row>
    <row r="262" spans="1:21" ht="15" hidden="1" customHeight="1">
      <c r="A262" s="34"/>
      <c r="B262" s="33" t="s">
        <v>174</v>
      </c>
      <c r="C262" s="12">
        <v>56</v>
      </c>
      <c r="D262" s="69">
        <f t="shared" ref="D262:U263" si="490">D279</f>
        <v>0</v>
      </c>
      <c r="E262" s="197"/>
      <c r="F262" s="69">
        <f t="shared" ref="F262" si="491">F279</f>
        <v>0</v>
      </c>
      <c r="G262" s="69">
        <f t="shared" si="490"/>
        <v>0</v>
      </c>
      <c r="H262" s="69">
        <f t="shared" si="490"/>
        <v>0</v>
      </c>
      <c r="I262" s="197"/>
      <c r="J262" s="197"/>
      <c r="K262" s="197"/>
      <c r="L262" s="282"/>
      <c r="M262" s="282"/>
      <c r="N262" s="282"/>
      <c r="O262" s="282"/>
      <c r="P262" s="282"/>
      <c r="Q262" s="117">
        <f t="shared" si="313"/>
        <v>0</v>
      </c>
      <c r="R262" s="117">
        <f t="shared" si="314"/>
        <v>0</v>
      </c>
      <c r="S262" s="282"/>
      <c r="T262" s="282"/>
      <c r="U262" s="282"/>
    </row>
    <row r="263" spans="1:21" ht="15">
      <c r="A263" s="34"/>
      <c r="B263" s="33" t="s">
        <v>174</v>
      </c>
      <c r="C263" s="12">
        <v>58</v>
      </c>
      <c r="D263" s="69">
        <f t="shared" si="490"/>
        <v>915.9</v>
      </c>
      <c r="E263" s="69">
        <f t="shared" ref="E263:F263" si="492">E280</f>
        <v>756.9</v>
      </c>
      <c r="F263" s="69">
        <f t="shared" si="492"/>
        <v>13375</v>
      </c>
      <c r="G263" s="69">
        <f t="shared" si="490"/>
        <v>13375</v>
      </c>
      <c r="H263" s="69">
        <f t="shared" si="490"/>
        <v>13375</v>
      </c>
      <c r="I263" s="69">
        <f t="shared" si="490"/>
        <v>24252</v>
      </c>
      <c r="J263" s="69">
        <f t="shared" si="490"/>
        <v>23752</v>
      </c>
      <c r="K263" s="69">
        <f t="shared" ref="K263:L263" si="493">K280</f>
        <v>24252</v>
      </c>
      <c r="L263" s="283">
        <f t="shared" si="493"/>
        <v>21752</v>
      </c>
      <c r="M263" s="283">
        <f t="shared" ref="M263:P263" si="494">M280</f>
        <v>6266</v>
      </c>
      <c r="N263" s="283">
        <f t="shared" si="494"/>
        <v>5166</v>
      </c>
      <c r="O263" s="283">
        <f t="shared" si="494"/>
        <v>5166</v>
      </c>
      <c r="P263" s="283">
        <f t="shared" si="494"/>
        <v>5154</v>
      </c>
      <c r="Q263" s="117">
        <f t="shared" si="313"/>
        <v>21752</v>
      </c>
      <c r="R263" s="117">
        <f t="shared" si="314"/>
        <v>0</v>
      </c>
      <c r="S263" s="283">
        <f t="shared" si="490"/>
        <v>51615</v>
      </c>
      <c r="T263" s="283">
        <f t="shared" si="490"/>
        <v>58572</v>
      </c>
      <c r="U263" s="283">
        <f t="shared" si="490"/>
        <v>14325</v>
      </c>
    </row>
    <row r="264" spans="1:21" ht="15">
      <c r="A264" s="34"/>
      <c r="B264" s="33" t="s">
        <v>175</v>
      </c>
      <c r="C264" s="12">
        <v>70</v>
      </c>
      <c r="D264" s="69">
        <f t="shared" ref="D264:U264" si="495">D289+D406</f>
        <v>364</v>
      </c>
      <c r="E264" s="69">
        <f t="shared" ref="E264:F264" si="496">E289+E406</f>
        <v>493.43</v>
      </c>
      <c r="F264" s="69">
        <f t="shared" si="496"/>
        <v>3376</v>
      </c>
      <c r="G264" s="69">
        <f t="shared" si="495"/>
        <v>2621</v>
      </c>
      <c r="H264" s="69">
        <f t="shared" si="495"/>
        <v>3376</v>
      </c>
      <c r="I264" s="69">
        <f t="shared" si="495"/>
        <v>21168</v>
      </c>
      <c r="J264" s="69">
        <f t="shared" si="495"/>
        <v>21168</v>
      </c>
      <c r="K264" s="69">
        <f t="shared" ref="K264:L264" si="497">K289+K406</f>
        <v>0</v>
      </c>
      <c r="L264" s="283">
        <f t="shared" si="497"/>
        <v>22033</v>
      </c>
      <c r="M264" s="283">
        <f t="shared" ref="M264:P264" si="498">M289+M406</f>
        <v>2033</v>
      </c>
      <c r="N264" s="283">
        <f t="shared" si="498"/>
        <v>7000</v>
      </c>
      <c r="O264" s="283">
        <f t="shared" si="498"/>
        <v>7000</v>
      </c>
      <c r="P264" s="283">
        <f t="shared" si="498"/>
        <v>6000</v>
      </c>
      <c r="Q264" s="117">
        <f t="shared" si="313"/>
        <v>22033</v>
      </c>
      <c r="R264" s="117">
        <f t="shared" si="314"/>
        <v>0</v>
      </c>
      <c r="S264" s="283">
        <f t="shared" si="495"/>
        <v>55963</v>
      </c>
      <c r="T264" s="283">
        <f t="shared" si="495"/>
        <v>0</v>
      </c>
      <c r="U264" s="283">
        <f t="shared" si="495"/>
        <v>0</v>
      </c>
    </row>
    <row r="265" spans="1:21" ht="14.25">
      <c r="A265" s="131">
        <v>1</v>
      </c>
      <c r="B265" s="132" t="s">
        <v>182</v>
      </c>
      <c r="C265" s="133" t="s">
        <v>183</v>
      </c>
      <c r="D265" s="70">
        <f t="shared" ref="D265:U265" si="499">D266+D274</f>
        <v>33237.9</v>
      </c>
      <c r="E265" s="70">
        <f t="shared" ref="E265:F265" si="500">E266+E274</f>
        <v>32680.090000000004</v>
      </c>
      <c r="F265" s="70">
        <f t="shared" si="500"/>
        <v>54311</v>
      </c>
      <c r="G265" s="70">
        <f t="shared" si="499"/>
        <v>51256</v>
      </c>
      <c r="H265" s="70">
        <f t="shared" si="499"/>
        <v>54311</v>
      </c>
      <c r="I265" s="70">
        <f t="shared" si="499"/>
        <v>83062</v>
      </c>
      <c r="J265" s="70">
        <f t="shared" si="499"/>
        <v>77145</v>
      </c>
      <c r="K265" s="70">
        <f t="shared" ref="K265:L265" si="501">K266+K274</f>
        <v>54203</v>
      </c>
      <c r="L265" s="294">
        <f t="shared" si="501"/>
        <v>81876</v>
      </c>
      <c r="M265" s="294">
        <f t="shared" ref="M265:P265" si="502">M266+M274</f>
        <v>16899</v>
      </c>
      <c r="N265" s="294">
        <f t="shared" si="502"/>
        <v>21101</v>
      </c>
      <c r="O265" s="294">
        <f t="shared" si="502"/>
        <v>22801</v>
      </c>
      <c r="P265" s="294">
        <f t="shared" si="502"/>
        <v>21075</v>
      </c>
      <c r="Q265" s="117">
        <f t="shared" si="313"/>
        <v>81876</v>
      </c>
      <c r="R265" s="117">
        <f t="shared" si="314"/>
        <v>0</v>
      </c>
      <c r="S265" s="294">
        <f t="shared" si="499"/>
        <v>142778</v>
      </c>
      <c r="T265" s="294">
        <f t="shared" si="499"/>
        <v>93772</v>
      </c>
      <c r="U265" s="294">
        <f t="shared" si="499"/>
        <v>49525</v>
      </c>
    </row>
    <row r="266" spans="1:21" ht="14.25">
      <c r="A266" s="34"/>
      <c r="B266" s="24" t="s">
        <v>153</v>
      </c>
      <c r="C266" s="84"/>
      <c r="D266" s="73">
        <f t="shared" ref="D266:U266" si="503">D267+D272</f>
        <v>31958</v>
      </c>
      <c r="E266" s="73">
        <f t="shared" ref="E266:F266" si="504">E267+E272</f>
        <v>31429.760000000002</v>
      </c>
      <c r="F266" s="73">
        <f t="shared" si="504"/>
        <v>37560</v>
      </c>
      <c r="G266" s="73">
        <f t="shared" si="503"/>
        <v>35260</v>
      </c>
      <c r="H266" s="73">
        <f t="shared" si="503"/>
        <v>37560</v>
      </c>
      <c r="I266" s="73">
        <f t="shared" si="503"/>
        <v>37642</v>
      </c>
      <c r="J266" s="73">
        <f t="shared" si="503"/>
        <v>32225</v>
      </c>
      <c r="K266" s="73">
        <f t="shared" ref="K266:L266" si="505">K267+K272</f>
        <v>29951</v>
      </c>
      <c r="L266" s="292">
        <f t="shared" si="505"/>
        <v>38091</v>
      </c>
      <c r="M266" s="292">
        <f t="shared" ref="M266:P266" si="506">M267+M272</f>
        <v>8600</v>
      </c>
      <c r="N266" s="292">
        <f t="shared" si="506"/>
        <v>8935</v>
      </c>
      <c r="O266" s="292">
        <f t="shared" si="506"/>
        <v>10635</v>
      </c>
      <c r="P266" s="292">
        <f t="shared" si="506"/>
        <v>9921</v>
      </c>
      <c r="Q266" s="117">
        <f t="shared" si="313"/>
        <v>38091</v>
      </c>
      <c r="R266" s="117">
        <f t="shared" si="314"/>
        <v>0</v>
      </c>
      <c r="S266" s="292">
        <f t="shared" si="503"/>
        <v>35200</v>
      </c>
      <c r="T266" s="292">
        <f t="shared" si="503"/>
        <v>35200</v>
      </c>
      <c r="U266" s="292">
        <f t="shared" si="503"/>
        <v>35200</v>
      </c>
    </row>
    <row r="267" spans="1:21" ht="15">
      <c r="A267" s="34"/>
      <c r="B267" s="33" t="s">
        <v>154</v>
      </c>
      <c r="C267" s="12">
        <v>1</v>
      </c>
      <c r="D267" s="69">
        <f t="shared" ref="D267:U267" si="507">D268+D269+D270+D271+D273</f>
        <v>32032</v>
      </c>
      <c r="E267" s="69">
        <f t="shared" ref="E267:F267" si="508">E268+E269+E270+E271+E273</f>
        <v>31523.760000000002</v>
      </c>
      <c r="F267" s="69">
        <f t="shared" si="508"/>
        <v>37560</v>
      </c>
      <c r="G267" s="69">
        <f t="shared" si="507"/>
        <v>35260</v>
      </c>
      <c r="H267" s="69">
        <f t="shared" si="507"/>
        <v>37560</v>
      </c>
      <c r="I267" s="69">
        <f t="shared" si="507"/>
        <v>37642</v>
      </c>
      <c r="J267" s="69">
        <f t="shared" si="507"/>
        <v>32225</v>
      </c>
      <c r="K267" s="69">
        <f t="shared" ref="K267:L267" si="509">K268+K269+K270+K271+K273</f>
        <v>29951</v>
      </c>
      <c r="L267" s="283">
        <f t="shared" si="509"/>
        <v>38091</v>
      </c>
      <c r="M267" s="283">
        <f t="shared" ref="M267:P267" si="510">M268+M269+M270+M271+M273</f>
        <v>8600</v>
      </c>
      <c r="N267" s="283">
        <f t="shared" si="510"/>
        <v>8935</v>
      </c>
      <c r="O267" s="283">
        <f t="shared" si="510"/>
        <v>10635</v>
      </c>
      <c r="P267" s="283">
        <f t="shared" si="510"/>
        <v>9921</v>
      </c>
      <c r="Q267" s="117">
        <f t="shared" si="313"/>
        <v>38091</v>
      </c>
      <c r="R267" s="117">
        <f t="shared" si="314"/>
        <v>0</v>
      </c>
      <c r="S267" s="283">
        <f t="shared" si="507"/>
        <v>35200</v>
      </c>
      <c r="T267" s="283">
        <f t="shared" si="507"/>
        <v>35200</v>
      </c>
      <c r="U267" s="283">
        <f t="shared" si="507"/>
        <v>35200</v>
      </c>
    </row>
    <row r="268" spans="1:21" ht="15">
      <c r="A268" s="34"/>
      <c r="B268" s="33" t="s">
        <v>155</v>
      </c>
      <c r="C268" s="12">
        <v>10</v>
      </c>
      <c r="D268" s="68">
        <v>25179</v>
      </c>
      <c r="E268" s="197">
        <v>24379.55</v>
      </c>
      <c r="F268" s="68">
        <v>25577</v>
      </c>
      <c r="G268" s="68">
        <v>28000</v>
      </c>
      <c r="H268" s="68">
        <v>25577</v>
      </c>
      <c r="I268" s="197">
        <v>30342</v>
      </c>
      <c r="J268" s="197">
        <v>25725</v>
      </c>
      <c r="K268" s="197">
        <v>29951</v>
      </c>
      <c r="L268" s="282">
        <v>28000</v>
      </c>
      <c r="M268" s="282">
        <v>6500</v>
      </c>
      <c r="N268" s="282">
        <v>6800</v>
      </c>
      <c r="O268" s="282">
        <v>6900</v>
      </c>
      <c r="P268" s="282">
        <v>7800</v>
      </c>
      <c r="Q268" s="117">
        <f t="shared" si="313"/>
        <v>28000</v>
      </c>
      <c r="R268" s="117">
        <f t="shared" si="314"/>
        <v>0</v>
      </c>
      <c r="S268" s="282">
        <v>28000</v>
      </c>
      <c r="T268" s="282">
        <v>28000</v>
      </c>
      <c r="U268" s="282">
        <v>28000</v>
      </c>
    </row>
    <row r="269" spans="1:21" ht="16.5" customHeight="1">
      <c r="A269" s="34"/>
      <c r="B269" s="33" t="s">
        <v>588</v>
      </c>
      <c r="C269" s="12">
        <v>20</v>
      </c>
      <c r="D269" s="68">
        <v>6641</v>
      </c>
      <c r="E269" s="197">
        <v>6889.56</v>
      </c>
      <c r="F269" s="68">
        <v>11711</v>
      </c>
      <c r="G269" s="68">
        <f>7114+46-100</f>
        <v>7060</v>
      </c>
      <c r="H269" s="68">
        <v>11711</v>
      </c>
      <c r="I269" s="197">
        <v>7000</v>
      </c>
      <c r="J269" s="197">
        <v>6200</v>
      </c>
      <c r="K269" s="197"/>
      <c r="L269" s="282">
        <f>10452-151-500</f>
        <v>9801</v>
      </c>
      <c r="M269" s="282">
        <v>2000</v>
      </c>
      <c r="N269" s="282">
        <f>2065-30</f>
        <v>2035</v>
      </c>
      <c r="O269" s="282">
        <f>3000+395+250</f>
        <v>3645</v>
      </c>
      <c r="P269" s="282">
        <f>2801-99-395-34+98-250</f>
        <v>2121</v>
      </c>
      <c r="Q269" s="117">
        <f t="shared" ref="Q269:Q332" si="511">M269+N269+O269+P269</f>
        <v>9801</v>
      </c>
      <c r="R269" s="117">
        <f t="shared" ref="R269:R332" si="512">L269-Q269</f>
        <v>0</v>
      </c>
      <c r="S269" s="282">
        <v>7000</v>
      </c>
      <c r="T269" s="282">
        <v>7000</v>
      </c>
      <c r="U269" s="282">
        <v>7000</v>
      </c>
    </row>
    <row r="270" spans="1:21" ht="16.5" hidden="1" customHeight="1">
      <c r="A270" s="34"/>
      <c r="B270" s="21" t="s">
        <v>184</v>
      </c>
      <c r="C270" s="91" t="s">
        <v>185</v>
      </c>
      <c r="D270" s="68"/>
      <c r="E270" s="197"/>
      <c r="F270" s="68"/>
      <c r="G270" s="68"/>
      <c r="H270" s="68"/>
      <c r="I270" s="197"/>
      <c r="J270" s="197"/>
      <c r="K270" s="197"/>
      <c r="L270" s="282"/>
      <c r="M270" s="282"/>
      <c r="N270" s="282"/>
      <c r="O270" s="282"/>
      <c r="P270" s="282"/>
      <c r="Q270" s="117">
        <f t="shared" si="511"/>
        <v>0</v>
      </c>
      <c r="R270" s="117">
        <f t="shared" si="512"/>
        <v>0</v>
      </c>
      <c r="S270" s="282"/>
      <c r="T270" s="282"/>
      <c r="U270" s="282"/>
    </row>
    <row r="271" spans="1:21" ht="16.5" hidden="1" customHeight="1">
      <c r="A271" s="34"/>
      <c r="B271" s="21" t="s">
        <v>177</v>
      </c>
      <c r="C271" s="91" t="s">
        <v>186</v>
      </c>
      <c r="D271" s="68">
        <v>66</v>
      </c>
      <c r="E271" s="197"/>
      <c r="F271" s="68"/>
      <c r="G271" s="68"/>
      <c r="H271" s="68"/>
      <c r="I271" s="197"/>
      <c r="J271" s="197"/>
      <c r="K271" s="197"/>
      <c r="L271" s="282"/>
      <c r="M271" s="282"/>
      <c r="N271" s="282"/>
      <c r="O271" s="282"/>
      <c r="P271" s="282"/>
      <c r="Q271" s="117">
        <f t="shared" si="511"/>
        <v>0</v>
      </c>
      <c r="R271" s="117">
        <f t="shared" si="512"/>
        <v>0</v>
      </c>
      <c r="S271" s="282"/>
      <c r="T271" s="282"/>
      <c r="U271" s="282"/>
    </row>
    <row r="272" spans="1:21" ht="15.75" hidden="1" customHeight="1">
      <c r="A272" s="21"/>
      <c r="B272" s="33" t="s">
        <v>164</v>
      </c>
      <c r="C272" s="12">
        <v>85.01</v>
      </c>
      <c r="D272" s="68">
        <v>-74</v>
      </c>
      <c r="E272" s="197">
        <v>-94</v>
      </c>
      <c r="F272" s="68"/>
      <c r="G272" s="68"/>
      <c r="H272" s="68"/>
      <c r="I272" s="197"/>
      <c r="J272" s="197"/>
      <c r="K272" s="197"/>
      <c r="L272" s="282"/>
      <c r="M272" s="282"/>
      <c r="N272" s="282"/>
      <c r="O272" s="282"/>
      <c r="P272" s="282"/>
      <c r="Q272" s="117">
        <f t="shared" si="511"/>
        <v>0</v>
      </c>
      <c r="R272" s="117">
        <f t="shared" si="512"/>
        <v>0</v>
      </c>
      <c r="S272" s="282"/>
      <c r="T272" s="282"/>
      <c r="U272" s="282"/>
    </row>
    <row r="273" spans="1:21" ht="18.75" customHeight="1">
      <c r="A273" s="21"/>
      <c r="B273" s="33" t="s">
        <v>178</v>
      </c>
      <c r="C273" s="12">
        <v>59</v>
      </c>
      <c r="D273" s="68">
        <v>146</v>
      </c>
      <c r="E273" s="197">
        <v>254.65</v>
      </c>
      <c r="F273" s="68">
        <v>272</v>
      </c>
      <c r="G273" s="68">
        <v>200</v>
      </c>
      <c r="H273" s="68">
        <v>272</v>
      </c>
      <c r="I273" s="197">
        <v>300</v>
      </c>
      <c r="J273" s="197">
        <v>300</v>
      </c>
      <c r="K273" s="197"/>
      <c r="L273" s="282">
        <v>290</v>
      </c>
      <c r="M273" s="282">
        <v>100</v>
      </c>
      <c r="N273" s="282">
        <v>100</v>
      </c>
      <c r="O273" s="282">
        <v>90</v>
      </c>
      <c r="P273" s="282"/>
      <c r="Q273" s="117">
        <f t="shared" si="511"/>
        <v>290</v>
      </c>
      <c r="R273" s="117">
        <f t="shared" si="512"/>
        <v>0</v>
      </c>
      <c r="S273" s="282">
        <v>200</v>
      </c>
      <c r="T273" s="282">
        <v>200</v>
      </c>
      <c r="U273" s="282">
        <v>200</v>
      </c>
    </row>
    <row r="274" spans="1:21" ht="20.25" customHeight="1">
      <c r="A274" s="34"/>
      <c r="B274" s="114" t="s">
        <v>165</v>
      </c>
      <c r="C274" s="115"/>
      <c r="D274" s="116">
        <f t="shared" ref="D274:U274" si="513">D277+D279+D289+D304+D275+D280</f>
        <v>1279.9000000000001</v>
      </c>
      <c r="E274" s="116">
        <f t="shared" ref="E274:F274" si="514">E277+E279+E289+E304+E275+E280</f>
        <v>1250.33</v>
      </c>
      <c r="F274" s="116">
        <f t="shared" si="514"/>
        <v>16751</v>
      </c>
      <c r="G274" s="116">
        <f t="shared" si="513"/>
        <v>15996</v>
      </c>
      <c r="H274" s="116">
        <f t="shared" si="513"/>
        <v>16751</v>
      </c>
      <c r="I274" s="116">
        <f t="shared" si="513"/>
        <v>45420</v>
      </c>
      <c r="J274" s="116">
        <f t="shared" si="513"/>
        <v>44920</v>
      </c>
      <c r="K274" s="116">
        <f t="shared" ref="K274:L274" si="515">K277+K279+K289+K304+K275+K280</f>
        <v>24252</v>
      </c>
      <c r="L274" s="295">
        <f t="shared" si="515"/>
        <v>43785</v>
      </c>
      <c r="M274" s="295">
        <f t="shared" ref="M274:P274" si="516">M277+M279+M289+M304+M275+M280</f>
        <v>8299</v>
      </c>
      <c r="N274" s="295">
        <f t="shared" si="516"/>
        <v>12166</v>
      </c>
      <c r="O274" s="295">
        <f t="shared" si="516"/>
        <v>12166</v>
      </c>
      <c r="P274" s="295">
        <f t="shared" si="516"/>
        <v>11154</v>
      </c>
      <c r="Q274" s="117">
        <f t="shared" si="511"/>
        <v>43785</v>
      </c>
      <c r="R274" s="117">
        <f t="shared" si="512"/>
        <v>0</v>
      </c>
      <c r="S274" s="295">
        <f t="shared" si="513"/>
        <v>107578</v>
      </c>
      <c r="T274" s="295">
        <f t="shared" si="513"/>
        <v>58572</v>
      </c>
      <c r="U274" s="295">
        <f t="shared" si="513"/>
        <v>14325</v>
      </c>
    </row>
    <row r="275" spans="1:21" ht="15" hidden="1" customHeight="1">
      <c r="A275" s="34"/>
      <c r="B275" s="110" t="s">
        <v>187</v>
      </c>
      <c r="C275" s="112" t="s">
        <v>188</v>
      </c>
      <c r="D275" s="113"/>
      <c r="E275" s="197"/>
      <c r="F275" s="113"/>
      <c r="G275" s="113"/>
      <c r="H275" s="113"/>
      <c r="I275" s="197"/>
      <c r="J275" s="197"/>
      <c r="K275" s="197"/>
      <c r="L275" s="282"/>
      <c r="M275" s="282"/>
      <c r="N275" s="282"/>
      <c r="O275" s="282"/>
      <c r="P275" s="282"/>
      <c r="Q275" s="117">
        <f t="shared" si="511"/>
        <v>0</v>
      </c>
      <c r="R275" s="117">
        <f t="shared" si="512"/>
        <v>0</v>
      </c>
      <c r="S275" s="282"/>
      <c r="T275" s="282"/>
      <c r="U275" s="282"/>
    </row>
    <row r="276" spans="1:21" ht="45" hidden="1" customHeight="1">
      <c r="A276" s="34"/>
      <c r="B276" s="35" t="s">
        <v>189</v>
      </c>
      <c r="C276" s="12" t="s">
        <v>190</v>
      </c>
      <c r="D276" s="69"/>
      <c r="E276" s="197"/>
      <c r="F276" s="69"/>
      <c r="G276" s="69"/>
      <c r="H276" s="69"/>
      <c r="I276" s="197"/>
      <c r="J276" s="197"/>
      <c r="K276" s="197"/>
      <c r="L276" s="282"/>
      <c r="M276" s="282"/>
      <c r="N276" s="282"/>
      <c r="O276" s="282"/>
      <c r="P276" s="282"/>
      <c r="Q276" s="117">
        <f t="shared" si="511"/>
        <v>0</v>
      </c>
      <c r="R276" s="117">
        <f t="shared" si="512"/>
        <v>0</v>
      </c>
      <c r="S276" s="282"/>
      <c r="T276" s="282"/>
      <c r="U276" s="282"/>
    </row>
    <row r="277" spans="1:21" ht="16.5" hidden="1" customHeight="1">
      <c r="A277" s="34"/>
      <c r="B277" s="110" t="s">
        <v>181</v>
      </c>
      <c r="C277" s="112" t="s">
        <v>191</v>
      </c>
      <c r="D277" s="113"/>
      <c r="E277" s="197"/>
      <c r="F277" s="113"/>
      <c r="G277" s="113"/>
      <c r="H277" s="113"/>
      <c r="I277" s="197"/>
      <c r="J277" s="197"/>
      <c r="K277" s="197"/>
      <c r="L277" s="282"/>
      <c r="M277" s="282"/>
      <c r="N277" s="282"/>
      <c r="O277" s="282"/>
      <c r="P277" s="282"/>
      <c r="Q277" s="117">
        <f t="shared" si="511"/>
        <v>0</v>
      </c>
      <c r="R277" s="117">
        <f t="shared" si="512"/>
        <v>0</v>
      </c>
      <c r="S277" s="282"/>
      <c r="T277" s="282"/>
      <c r="U277" s="282"/>
    </row>
    <row r="278" spans="1:21" ht="16.5" hidden="1" customHeight="1">
      <c r="A278" s="34"/>
      <c r="B278" s="21" t="s">
        <v>192</v>
      </c>
      <c r="C278" s="12" t="s">
        <v>193</v>
      </c>
      <c r="D278" s="69"/>
      <c r="E278" s="197"/>
      <c r="F278" s="69"/>
      <c r="G278" s="69"/>
      <c r="H278" s="69"/>
      <c r="I278" s="197"/>
      <c r="J278" s="197"/>
      <c r="K278" s="197"/>
      <c r="L278" s="282"/>
      <c r="M278" s="282"/>
      <c r="N278" s="282"/>
      <c r="O278" s="282"/>
      <c r="P278" s="282"/>
      <c r="Q278" s="117">
        <f t="shared" si="511"/>
        <v>0</v>
      </c>
      <c r="R278" s="117">
        <f t="shared" si="512"/>
        <v>0</v>
      </c>
      <c r="S278" s="282"/>
      <c r="T278" s="282"/>
      <c r="U278" s="282"/>
    </row>
    <row r="279" spans="1:21" ht="18.75" hidden="1" customHeight="1">
      <c r="A279" s="34"/>
      <c r="B279" s="110" t="s">
        <v>174</v>
      </c>
      <c r="C279" s="112">
        <v>56</v>
      </c>
      <c r="D279" s="113"/>
      <c r="E279" s="197"/>
      <c r="F279" s="113"/>
      <c r="G279" s="113"/>
      <c r="H279" s="113"/>
      <c r="I279" s="197"/>
      <c r="J279" s="197"/>
      <c r="K279" s="197"/>
      <c r="L279" s="282"/>
      <c r="M279" s="282"/>
      <c r="N279" s="282"/>
      <c r="O279" s="282"/>
      <c r="P279" s="282"/>
      <c r="Q279" s="117">
        <f t="shared" si="511"/>
        <v>0</v>
      </c>
      <c r="R279" s="117">
        <f t="shared" si="512"/>
        <v>0</v>
      </c>
      <c r="S279" s="282"/>
      <c r="T279" s="282"/>
      <c r="U279" s="282"/>
    </row>
    <row r="280" spans="1:21" ht="30" customHeight="1">
      <c r="A280" s="34"/>
      <c r="B280" s="111" t="s">
        <v>445</v>
      </c>
      <c r="C280" s="112">
        <v>58</v>
      </c>
      <c r="D280" s="113">
        <f t="shared" ref="D280:U280" si="517">D281+D285</f>
        <v>915.9</v>
      </c>
      <c r="E280" s="113">
        <f t="shared" ref="E280:F280" si="518">E281+E285</f>
        <v>756.9</v>
      </c>
      <c r="F280" s="113">
        <f t="shared" si="518"/>
        <v>13375</v>
      </c>
      <c r="G280" s="113">
        <f t="shared" si="517"/>
        <v>13375</v>
      </c>
      <c r="H280" s="113">
        <f t="shared" si="517"/>
        <v>13375</v>
      </c>
      <c r="I280" s="113">
        <f t="shared" si="517"/>
        <v>24252</v>
      </c>
      <c r="J280" s="113">
        <f t="shared" si="517"/>
        <v>23752</v>
      </c>
      <c r="K280" s="113">
        <f t="shared" ref="K280:L280" si="519">K281+K285</f>
        <v>24252</v>
      </c>
      <c r="L280" s="296">
        <f t="shared" si="519"/>
        <v>21752</v>
      </c>
      <c r="M280" s="296">
        <f t="shared" ref="M280:P280" si="520">M281+M285</f>
        <v>6266</v>
      </c>
      <c r="N280" s="296">
        <f t="shared" si="520"/>
        <v>5166</v>
      </c>
      <c r="O280" s="296">
        <f t="shared" si="520"/>
        <v>5166</v>
      </c>
      <c r="P280" s="296">
        <f t="shared" si="520"/>
        <v>5154</v>
      </c>
      <c r="Q280" s="117">
        <f t="shared" si="511"/>
        <v>21752</v>
      </c>
      <c r="R280" s="117">
        <f t="shared" si="512"/>
        <v>0</v>
      </c>
      <c r="S280" s="296">
        <f t="shared" si="517"/>
        <v>51615</v>
      </c>
      <c r="T280" s="296">
        <f t="shared" si="517"/>
        <v>58572</v>
      </c>
      <c r="U280" s="296">
        <f t="shared" si="517"/>
        <v>14325</v>
      </c>
    </row>
    <row r="281" spans="1:21" ht="30" customHeight="1">
      <c r="A281" s="34"/>
      <c r="B281" s="48" t="s">
        <v>516</v>
      </c>
      <c r="C281" s="128">
        <v>58.01</v>
      </c>
      <c r="D281" s="68">
        <f t="shared" ref="D281:U284" si="521">D307+D313+D319+D325+D331+D343+D349+D355+D361+D373+D379</f>
        <v>271.89999999999998</v>
      </c>
      <c r="E281" s="68">
        <f t="shared" ref="E281:F281" si="522">E307+E313+E319+E325+E331+E343+E349+E355+E361+E373+E379</f>
        <v>87.9</v>
      </c>
      <c r="F281" s="68">
        <f t="shared" si="522"/>
        <v>12489</v>
      </c>
      <c r="G281" s="68">
        <f t="shared" si="521"/>
        <v>12489</v>
      </c>
      <c r="H281" s="68">
        <f t="shared" si="521"/>
        <v>12489</v>
      </c>
      <c r="I281" s="68">
        <f t="shared" si="521"/>
        <v>22088</v>
      </c>
      <c r="J281" s="68">
        <f t="shared" si="521"/>
        <v>21588</v>
      </c>
      <c r="K281" s="68">
        <f t="shared" ref="K281:L281" si="523">K307+K313+K319+K325+K331+K343+K349+K355+K361+K373+K379</f>
        <v>22088</v>
      </c>
      <c r="L281" s="176">
        <f t="shared" si="523"/>
        <v>19588</v>
      </c>
      <c r="M281" s="176">
        <f t="shared" ref="M281:P281" si="524">M307+M313+M319+M325+M331+M343+M349+M355+M361+M373+M379</f>
        <v>5691</v>
      </c>
      <c r="N281" s="176">
        <f t="shared" si="524"/>
        <v>4635</v>
      </c>
      <c r="O281" s="176">
        <f t="shared" si="524"/>
        <v>4635</v>
      </c>
      <c r="P281" s="176">
        <f t="shared" si="524"/>
        <v>4627</v>
      </c>
      <c r="Q281" s="117">
        <f t="shared" si="511"/>
        <v>19588</v>
      </c>
      <c r="R281" s="117">
        <f t="shared" si="512"/>
        <v>0</v>
      </c>
      <c r="S281" s="176">
        <f t="shared" si="521"/>
        <v>51615</v>
      </c>
      <c r="T281" s="176">
        <f t="shared" si="521"/>
        <v>58572</v>
      </c>
      <c r="U281" s="176">
        <f t="shared" si="521"/>
        <v>14325</v>
      </c>
    </row>
    <row r="282" spans="1:21" ht="14.25" customHeight="1">
      <c r="A282" s="34"/>
      <c r="B282" s="21" t="s">
        <v>477</v>
      </c>
      <c r="C282" s="12" t="s">
        <v>478</v>
      </c>
      <c r="D282" s="69">
        <f t="shared" si="521"/>
        <v>69.099999999999994</v>
      </c>
      <c r="E282" s="69">
        <f t="shared" ref="E282:F282" si="525">E308+E314+E320+E326+E332+E344+E350+E356+E362+E374+E380</f>
        <v>12.5</v>
      </c>
      <c r="F282" s="69">
        <f t="shared" si="525"/>
        <v>1817</v>
      </c>
      <c r="G282" s="69">
        <f t="shared" si="521"/>
        <v>1817</v>
      </c>
      <c r="H282" s="69">
        <f t="shared" si="521"/>
        <v>1817</v>
      </c>
      <c r="I282" s="69">
        <f t="shared" si="521"/>
        <v>2974</v>
      </c>
      <c r="J282" s="69">
        <f t="shared" si="521"/>
        <v>2974</v>
      </c>
      <c r="K282" s="69">
        <f t="shared" ref="K282:L282" si="526">K308+K314+K320+K326+K332+K344+K350+K356+K362+K374+K380</f>
        <v>2974</v>
      </c>
      <c r="L282" s="283">
        <f t="shared" si="526"/>
        <v>2714</v>
      </c>
      <c r="M282" s="283">
        <f t="shared" ref="M282:P282" si="527">M308+M314+M320+M326+M332+M344+M350+M356+M362+M374+M380</f>
        <v>681</v>
      </c>
      <c r="N282" s="283">
        <f t="shared" si="527"/>
        <v>681</v>
      </c>
      <c r="O282" s="283">
        <f t="shared" si="527"/>
        <v>681</v>
      </c>
      <c r="P282" s="283">
        <f t="shared" si="527"/>
        <v>671</v>
      </c>
      <c r="Q282" s="117">
        <f t="shared" si="511"/>
        <v>2714</v>
      </c>
      <c r="R282" s="117">
        <f t="shared" si="512"/>
        <v>0</v>
      </c>
      <c r="S282" s="283">
        <f t="shared" si="521"/>
        <v>8476</v>
      </c>
      <c r="T282" s="283">
        <f t="shared" si="521"/>
        <v>6741</v>
      </c>
      <c r="U282" s="283">
        <f t="shared" si="521"/>
        <v>0</v>
      </c>
    </row>
    <row r="283" spans="1:21" ht="18.75" customHeight="1">
      <c r="A283" s="34"/>
      <c r="B283" s="21" t="s">
        <v>479</v>
      </c>
      <c r="C283" s="12" t="s">
        <v>447</v>
      </c>
      <c r="D283" s="69">
        <f t="shared" si="521"/>
        <v>197.2</v>
      </c>
      <c r="E283" s="69">
        <f t="shared" ref="E283:F283" si="528">E309+E315+E321+E327+E333+E345+E351+E357+E363+E375+E381</f>
        <v>66.299999999999983</v>
      </c>
      <c r="F283" s="69">
        <f t="shared" si="528"/>
        <v>9359</v>
      </c>
      <c r="G283" s="69">
        <f t="shared" si="521"/>
        <v>9359</v>
      </c>
      <c r="H283" s="69">
        <f t="shared" si="521"/>
        <v>9359</v>
      </c>
      <c r="I283" s="69">
        <f t="shared" si="521"/>
        <v>17518</v>
      </c>
      <c r="J283" s="69">
        <f t="shared" si="521"/>
        <v>17518</v>
      </c>
      <c r="K283" s="69">
        <f t="shared" ref="K283:L283" si="529">K309+K315+K321+K327+K333+K345+K351+K357+K363+K375+K381</f>
        <v>17518</v>
      </c>
      <c r="L283" s="283">
        <f t="shared" si="529"/>
        <v>15818</v>
      </c>
      <c r="M283" s="283">
        <f t="shared" ref="M283:P283" si="530">M309+M315+M321+M327+M333+M345+M351+M357+M363+M375+M381</f>
        <v>3954</v>
      </c>
      <c r="N283" s="283">
        <f t="shared" si="530"/>
        <v>3954</v>
      </c>
      <c r="O283" s="283">
        <f t="shared" si="530"/>
        <v>3954</v>
      </c>
      <c r="P283" s="283">
        <f t="shared" si="530"/>
        <v>3956</v>
      </c>
      <c r="Q283" s="117">
        <f t="shared" si="511"/>
        <v>15818</v>
      </c>
      <c r="R283" s="117">
        <f t="shared" si="512"/>
        <v>0</v>
      </c>
      <c r="S283" s="283">
        <f t="shared" si="521"/>
        <v>36044</v>
      </c>
      <c r="T283" s="283">
        <f t="shared" si="521"/>
        <v>37462</v>
      </c>
      <c r="U283" s="283">
        <f t="shared" si="521"/>
        <v>0</v>
      </c>
    </row>
    <row r="284" spans="1:21" ht="15.75" customHeight="1">
      <c r="A284" s="34"/>
      <c r="B284" s="21" t="s">
        <v>480</v>
      </c>
      <c r="C284" s="12" t="s">
        <v>448</v>
      </c>
      <c r="D284" s="69">
        <f t="shared" si="521"/>
        <v>5.6</v>
      </c>
      <c r="E284" s="69">
        <f t="shared" ref="E284:F284" si="531">E310+E316+E322+E328+E334+E346+E352+E358+E364+E376+E382</f>
        <v>9.0999999999999979</v>
      </c>
      <c r="F284" s="69">
        <f t="shared" si="531"/>
        <v>1313</v>
      </c>
      <c r="G284" s="69">
        <f t="shared" si="521"/>
        <v>1313</v>
      </c>
      <c r="H284" s="69">
        <f t="shared" si="521"/>
        <v>1313</v>
      </c>
      <c r="I284" s="69">
        <f t="shared" si="521"/>
        <v>1596</v>
      </c>
      <c r="J284" s="69">
        <f t="shared" si="521"/>
        <v>1096</v>
      </c>
      <c r="K284" s="69">
        <f t="shared" ref="K284:L284" si="532">K310+K316+K322+K328+K334+K346+K352+K358+K364+K376+K382</f>
        <v>1596</v>
      </c>
      <c r="L284" s="283">
        <f t="shared" si="532"/>
        <v>1056</v>
      </c>
      <c r="M284" s="283">
        <f t="shared" ref="M284:P284" si="533">M310+M316+M322+M328+M334+M346+M352+M358+M364+M376+M382</f>
        <v>1056</v>
      </c>
      <c r="N284" s="283">
        <f t="shared" si="533"/>
        <v>0</v>
      </c>
      <c r="O284" s="283">
        <f t="shared" si="533"/>
        <v>0</v>
      </c>
      <c r="P284" s="283">
        <f t="shared" si="533"/>
        <v>0</v>
      </c>
      <c r="Q284" s="117">
        <f t="shared" si="511"/>
        <v>1056</v>
      </c>
      <c r="R284" s="117">
        <f t="shared" si="512"/>
        <v>0</v>
      </c>
      <c r="S284" s="283">
        <f t="shared" si="521"/>
        <v>7095</v>
      </c>
      <c r="T284" s="283">
        <f t="shared" si="521"/>
        <v>14369</v>
      </c>
      <c r="U284" s="283">
        <f t="shared" si="521"/>
        <v>14325</v>
      </c>
    </row>
    <row r="285" spans="1:21" ht="15.75" customHeight="1">
      <c r="A285" s="34"/>
      <c r="B285" s="21" t="s">
        <v>517</v>
      </c>
      <c r="C285" s="12" t="s">
        <v>518</v>
      </c>
      <c r="D285" s="69">
        <f t="shared" ref="D285:U288" si="534">D337+D367</f>
        <v>644</v>
      </c>
      <c r="E285" s="69">
        <f t="shared" ref="E285:F285" si="535">E337+E367</f>
        <v>669</v>
      </c>
      <c r="F285" s="69">
        <f t="shared" si="535"/>
        <v>886</v>
      </c>
      <c r="G285" s="69">
        <f t="shared" si="534"/>
        <v>886</v>
      </c>
      <c r="H285" s="69">
        <f t="shared" si="534"/>
        <v>886</v>
      </c>
      <c r="I285" s="69">
        <f t="shared" si="534"/>
        <v>2164</v>
      </c>
      <c r="J285" s="69">
        <f t="shared" si="534"/>
        <v>2164</v>
      </c>
      <c r="K285" s="69">
        <f t="shared" ref="K285:L285" si="536">K337+K367</f>
        <v>2164</v>
      </c>
      <c r="L285" s="283">
        <f t="shared" si="536"/>
        <v>2164</v>
      </c>
      <c r="M285" s="283">
        <f t="shared" ref="M285:P285" si="537">M337+M367</f>
        <v>575</v>
      </c>
      <c r="N285" s="283">
        <f t="shared" si="537"/>
        <v>531</v>
      </c>
      <c r="O285" s="283">
        <f t="shared" si="537"/>
        <v>531</v>
      </c>
      <c r="P285" s="283">
        <f t="shared" si="537"/>
        <v>527</v>
      </c>
      <c r="Q285" s="117">
        <f t="shared" si="511"/>
        <v>2164</v>
      </c>
      <c r="R285" s="117">
        <f t="shared" si="512"/>
        <v>0</v>
      </c>
      <c r="S285" s="283">
        <f t="shared" si="534"/>
        <v>0</v>
      </c>
      <c r="T285" s="283">
        <f t="shared" si="534"/>
        <v>0</v>
      </c>
      <c r="U285" s="283">
        <f t="shared" si="534"/>
        <v>0</v>
      </c>
    </row>
    <row r="286" spans="1:21" ht="15.75" customHeight="1">
      <c r="A286" s="34"/>
      <c r="B286" s="21" t="s">
        <v>477</v>
      </c>
      <c r="C286" s="12" t="s">
        <v>489</v>
      </c>
      <c r="D286" s="69">
        <f t="shared" si="534"/>
        <v>69</v>
      </c>
      <c r="E286" s="69">
        <f t="shared" ref="E286:F286" si="538">E338+E368</f>
        <v>61</v>
      </c>
      <c r="F286" s="69">
        <f t="shared" si="538"/>
        <v>115</v>
      </c>
      <c r="G286" s="69">
        <f t="shared" si="534"/>
        <v>115</v>
      </c>
      <c r="H286" s="69">
        <f t="shared" si="534"/>
        <v>115</v>
      </c>
      <c r="I286" s="69">
        <f t="shared" si="534"/>
        <v>281</v>
      </c>
      <c r="J286" s="69">
        <f t="shared" si="534"/>
        <v>281</v>
      </c>
      <c r="K286" s="69">
        <f t="shared" ref="K286:L286" si="539">K338+K368</f>
        <v>281</v>
      </c>
      <c r="L286" s="283">
        <f t="shared" si="539"/>
        <v>281</v>
      </c>
      <c r="M286" s="283">
        <f t="shared" ref="M286:P286" si="540">M338+M368</f>
        <v>71</v>
      </c>
      <c r="N286" s="283">
        <f t="shared" si="540"/>
        <v>71</v>
      </c>
      <c r="O286" s="283">
        <f t="shared" si="540"/>
        <v>71</v>
      </c>
      <c r="P286" s="283">
        <f t="shared" si="540"/>
        <v>68</v>
      </c>
      <c r="Q286" s="117">
        <f t="shared" si="511"/>
        <v>281</v>
      </c>
      <c r="R286" s="117">
        <f t="shared" si="512"/>
        <v>0</v>
      </c>
      <c r="S286" s="283">
        <f t="shared" si="534"/>
        <v>0</v>
      </c>
      <c r="T286" s="283">
        <f t="shared" si="534"/>
        <v>0</v>
      </c>
      <c r="U286" s="283">
        <f t="shared" si="534"/>
        <v>0</v>
      </c>
    </row>
    <row r="287" spans="1:21" ht="15.75" customHeight="1">
      <c r="A287" s="34"/>
      <c r="B287" s="21" t="s">
        <v>479</v>
      </c>
      <c r="C287" s="12" t="s">
        <v>490</v>
      </c>
      <c r="D287" s="69">
        <f t="shared" ref="D287:D288" si="541">D339</f>
        <v>454</v>
      </c>
      <c r="E287" s="69">
        <f t="shared" ref="E287:F287" si="542">E339+E369</f>
        <v>608</v>
      </c>
      <c r="F287" s="69">
        <f t="shared" si="542"/>
        <v>753</v>
      </c>
      <c r="G287" s="69">
        <f t="shared" si="534"/>
        <v>753</v>
      </c>
      <c r="H287" s="69">
        <f t="shared" si="534"/>
        <v>753</v>
      </c>
      <c r="I287" s="69">
        <f t="shared" si="534"/>
        <v>1839</v>
      </c>
      <c r="J287" s="69">
        <f t="shared" si="534"/>
        <v>1839</v>
      </c>
      <c r="K287" s="69">
        <f t="shared" ref="K287:L287" si="543">K339+K369</f>
        <v>1839</v>
      </c>
      <c r="L287" s="283">
        <f t="shared" si="543"/>
        <v>1839</v>
      </c>
      <c r="M287" s="283">
        <f t="shared" ref="M287:P287" si="544">M339+M369</f>
        <v>460</v>
      </c>
      <c r="N287" s="283">
        <f t="shared" si="544"/>
        <v>460</v>
      </c>
      <c r="O287" s="283">
        <f t="shared" si="544"/>
        <v>460</v>
      </c>
      <c r="P287" s="283">
        <f t="shared" si="544"/>
        <v>459</v>
      </c>
      <c r="Q287" s="117">
        <f t="shared" si="511"/>
        <v>1839</v>
      </c>
      <c r="R287" s="117">
        <f t="shared" si="512"/>
        <v>0</v>
      </c>
      <c r="S287" s="283">
        <f t="shared" si="534"/>
        <v>0</v>
      </c>
      <c r="T287" s="283">
        <f t="shared" si="534"/>
        <v>0</v>
      </c>
      <c r="U287" s="283">
        <f t="shared" si="534"/>
        <v>0</v>
      </c>
    </row>
    <row r="288" spans="1:21" ht="15.75" customHeight="1">
      <c r="A288" s="34"/>
      <c r="B288" s="21" t="s">
        <v>480</v>
      </c>
      <c r="C288" s="12" t="s">
        <v>491</v>
      </c>
      <c r="D288" s="69">
        <f t="shared" si="541"/>
        <v>11</v>
      </c>
      <c r="E288" s="69">
        <f t="shared" ref="E288:F288" si="545">E340+E370</f>
        <v>0</v>
      </c>
      <c r="F288" s="69">
        <f t="shared" si="545"/>
        <v>18</v>
      </c>
      <c r="G288" s="69">
        <f t="shared" si="534"/>
        <v>18</v>
      </c>
      <c r="H288" s="69">
        <f t="shared" si="534"/>
        <v>18</v>
      </c>
      <c r="I288" s="69">
        <f t="shared" si="534"/>
        <v>44</v>
      </c>
      <c r="J288" s="69">
        <f t="shared" si="534"/>
        <v>44</v>
      </c>
      <c r="K288" s="69">
        <f t="shared" ref="K288:L288" si="546">K340+K370</f>
        <v>44</v>
      </c>
      <c r="L288" s="283">
        <f t="shared" si="546"/>
        <v>44</v>
      </c>
      <c r="M288" s="283">
        <f t="shared" ref="M288:P288" si="547">M340+M370</f>
        <v>44</v>
      </c>
      <c r="N288" s="283">
        <f t="shared" si="547"/>
        <v>0</v>
      </c>
      <c r="O288" s="283">
        <f t="shared" si="547"/>
        <v>0</v>
      </c>
      <c r="P288" s="283">
        <f t="shared" si="547"/>
        <v>0</v>
      </c>
      <c r="Q288" s="117">
        <f t="shared" si="511"/>
        <v>44</v>
      </c>
      <c r="R288" s="117">
        <f t="shared" si="512"/>
        <v>0</v>
      </c>
      <c r="S288" s="283">
        <f t="shared" si="534"/>
        <v>0</v>
      </c>
      <c r="T288" s="283">
        <f t="shared" si="534"/>
        <v>0</v>
      </c>
      <c r="U288" s="283">
        <f t="shared" si="534"/>
        <v>0</v>
      </c>
    </row>
    <row r="289" spans="1:23" ht="15.75" customHeight="1">
      <c r="A289" s="34"/>
      <c r="B289" s="110" t="s">
        <v>194</v>
      </c>
      <c r="C289" s="12">
        <v>70</v>
      </c>
      <c r="D289" s="113">
        <v>364</v>
      </c>
      <c r="E289" s="197">
        <v>493.43</v>
      </c>
      <c r="F289" s="66">
        <v>3376</v>
      </c>
      <c r="G289" s="66">
        <f>1625+1000-28-28-24+24+100-48</f>
        <v>2621</v>
      </c>
      <c r="H289" s="66">
        <v>3376</v>
      </c>
      <c r="I289" s="197">
        <f>1000+20000+168</f>
        <v>21168</v>
      </c>
      <c r="J289" s="197">
        <f>1000+20000+168</f>
        <v>21168</v>
      </c>
      <c r="K289" s="197"/>
      <c r="L289" s="282">
        <f>376+1257+400+20000</f>
        <v>22033</v>
      </c>
      <c r="M289" s="282">
        <v>2033</v>
      </c>
      <c r="N289" s="282">
        <v>7000</v>
      </c>
      <c r="O289" s="282">
        <v>7000</v>
      </c>
      <c r="P289" s="282">
        <v>6000</v>
      </c>
      <c r="Q289" s="117">
        <f t="shared" si="511"/>
        <v>22033</v>
      </c>
      <c r="R289" s="117">
        <f t="shared" si="512"/>
        <v>0</v>
      </c>
      <c r="S289" s="282">
        <v>55963</v>
      </c>
      <c r="T289" s="282">
        <v>0</v>
      </c>
      <c r="U289" s="282">
        <v>0</v>
      </c>
      <c r="W289" s="222"/>
    </row>
    <row r="290" spans="1:23" ht="18" hidden="1" customHeight="1">
      <c r="A290" s="34"/>
      <c r="B290" s="21" t="s">
        <v>195</v>
      </c>
      <c r="C290" s="12" t="s">
        <v>196</v>
      </c>
      <c r="D290" s="68"/>
      <c r="E290" s="197"/>
      <c r="F290" s="68"/>
      <c r="G290" s="68"/>
      <c r="H290" s="68"/>
      <c r="I290" s="197"/>
      <c r="J290" s="197"/>
      <c r="K290" s="197"/>
      <c r="L290" s="282"/>
      <c r="M290" s="282"/>
      <c r="N290" s="282"/>
      <c r="O290" s="282"/>
      <c r="P290" s="282"/>
      <c r="Q290" s="117">
        <f t="shared" si="511"/>
        <v>0</v>
      </c>
      <c r="R290" s="117">
        <f t="shared" si="512"/>
        <v>0</v>
      </c>
      <c r="S290" s="282"/>
      <c r="T290" s="282"/>
      <c r="U290" s="282"/>
    </row>
    <row r="291" spans="1:23" ht="18" hidden="1" customHeight="1">
      <c r="A291" s="34"/>
      <c r="B291" s="21" t="s">
        <v>197</v>
      </c>
      <c r="C291" s="12" t="s">
        <v>198</v>
      </c>
      <c r="D291" s="68"/>
      <c r="E291" s="197"/>
      <c r="F291" s="68"/>
      <c r="G291" s="68"/>
      <c r="H291" s="68"/>
      <c r="I291" s="197"/>
      <c r="J291" s="197"/>
      <c r="K291" s="197"/>
      <c r="L291" s="282"/>
      <c r="M291" s="282"/>
      <c r="N291" s="282"/>
      <c r="O291" s="282"/>
      <c r="P291" s="282"/>
      <c r="Q291" s="117">
        <f t="shared" si="511"/>
        <v>0</v>
      </c>
      <c r="R291" s="117">
        <f t="shared" si="512"/>
        <v>0</v>
      </c>
      <c r="S291" s="282"/>
      <c r="T291" s="282"/>
      <c r="U291" s="282"/>
    </row>
    <row r="292" spans="1:23" ht="21" hidden="1" customHeight="1">
      <c r="A292" s="34"/>
      <c r="B292" s="29" t="s">
        <v>199</v>
      </c>
      <c r="C292" s="12" t="s">
        <v>200</v>
      </c>
      <c r="D292" s="68"/>
      <c r="E292" s="197"/>
      <c r="F292" s="68"/>
      <c r="G292" s="68"/>
      <c r="H292" s="68"/>
      <c r="I292" s="197"/>
      <c r="J292" s="197"/>
      <c r="K292" s="197"/>
      <c r="L292" s="282"/>
      <c r="M292" s="282"/>
      <c r="N292" s="282"/>
      <c r="O292" s="282"/>
      <c r="P292" s="282"/>
      <c r="Q292" s="117">
        <f t="shared" si="511"/>
        <v>0</v>
      </c>
      <c r="R292" s="117">
        <f t="shared" si="512"/>
        <v>0</v>
      </c>
      <c r="S292" s="282"/>
      <c r="T292" s="282"/>
      <c r="U292" s="282"/>
    </row>
    <row r="293" spans="1:23" ht="21" hidden="1" customHeight="1">
      <c r="A293" s="34"/>
      <c r="B293" s="29" t="s">
        <v>201</v>
      </c>
      <c r="C293" s="12" t="s">
        <v>202</v>
      </c>
      <c r="D293" s="68"/>
      <c r="E293" s="197"/>
      <c r="F293" s="68"/>
      <c r="G293" s="68"/>
      <c r="H293" s="68"/>
      <c r="I293" s="197"/>
      <c r="J293" s="197"/>
      <c r="K293" s="197"/>
      <c r="L293" s="282"/>
      <c r="M293" s="282"/>
      <c r="N293" s="282"/>
      <c r="O293" s="282"/>
      <c r="P293" s="282"/>
      <c r="Q293" s="117">
        <f t="shared" si="511"/>
        <v>0</v>
      </c>
      <c r="R293" s="117">
        <f t="shared" si="512"/>
        <v>0</v>
      </c>
      <c r="S293" s="282"/>
      <c r="T293" s="282"/>
      <c r="U293" s="282"/>
    </row>
    <row r="294" spans="1:23" ht="25.5" hidden="1" customHeight="1">
      <c r="A294" s="34"/>
      <c r="B294" s="46" t="s">
        <v>203</v>
      </c>
      <c r="C294" s="12">
        <v>71.03</v>
      </c>
      <c r="D294" s="68"/>
      <c r="E294" s="197"/>
      <c r="F294" s="68"/>
      <c r="G294" s="68"/>
      <c r="H294" s="68"/>
      <c r="I294" s="197"/>
      <c r="J294" s="197"/>
      <c r="K294" s="197"/>
      <c r="L294" s="282"/>
      <c r="M294" s="282"/>
      <c r="N294" s="282"/>
      <c r="O294" s="282"/>
      <c r="P294" s="282"/>
      <c r="Q294" s="117">
        <f t="shared" si="511"/>
        <v>0</v>
      </c>
      <c r="R294" s="117">
        <f t="shared" si="512"/>
        <v>0</v>
      </c>
      <c r="S294" s="282"/>
      <c r="T294" s="282"/>
      <c r="U294" s="282"/>
    </row>
    <row r="295" spans="1:23" ht="33" hidden="1" customHeight="1">
      <c r="A295" s="34"/>
      <c r="B295" s="48" t="s">
        <v>486</v>
      </c>
      <c r="C295" s="12"/>
      <c r="D295" s="68"/>
      <c r="E295" s="197"/>
      <c r="F295" s="68"/>
      <c r="G295" s="68"/>
      <c r="H295" s="68"/>
      <c r="I295" s="197"/>
      <c r="J295" s="197"/>
      <c r="K295" s="197"/>
      <c r="L295" s="282"/>
      <c r="M295" s="282"/>
      <c r="N295" s="282"/>
      <c r="O295" s="282"/>
      <c r="P295" s="282"/>
      <c r="Q295" s="117">
        <f t="shared" si="511"/>
        <v>0</v>
      </c>
      <c r="R295" s="117">
        <f t="shared" si="512"/>
        <v>0</v>
      </c>
      <c r="S295" s="282"/>
      <c r="T295" s="282"/>
      <c r="U295" s="282"/>
    </row>
    <row r="296" spans="1:23" ht="4.5" hidden="1" customHeight="1">
      <c r="A296" s="34"/>
      <c r="B296" s="47" t="s">
        <v>434</v>
      </c>
      <c r="C296" s="12"/>
      <c r="D296" s="68"/>
      <c r="E296" s="197"/>
      <c r="F296" s="68"/>
      <c r="G296" s="68"/>
      <c r="H296" s="68"/>
      <c r="I296" s="197"/>
      <c r="J296" s="197"/>
      <c r="K296" s="197"/>
      <c r="L296" s="282"/>
      <c r="M296" s="282"/>
      <c r="N296" s="282"/>
      <c r="O296" s="282"/>
      <c r="P296" s="282"/>
      <c r="Q296" s="117">
        <f t="shared" si="511"/>
        <v>0</v>
      </c>
      <c r="R296" s="117">
        <f t="shared" si="512"/>
        <v>0</v>
      </c>
      <c r="S296" s="282"/>
      <c r="T296" s="282"/>
      <c r="U296" s="282"/>
    </row>
    <row r="297" spans="1:23" ht="73.5" hidden="1" customHeight="1">
      <c r="A297" s="34"/>
      <c r="B297" s="48" t="s">
        <v>425</v>
      </c>
      <c r="C297" s="12"/>
      <c r="D297" s="68"/>
      <c r="E297" s="197"/>
      <c r="F297" s="68"/>
      <c r="G297" s="68"/>
      <c r="H297" s="68"/>
      <c r="I297" s="197"/>
      <c r="J297" s="197"/>
      <c r="K297" s="197"/>
      <c r="L297" s="282"/>
      <c r="M297" s="282"/>
      <c r="N297" s="282"/>
      <c r="O297" s="282"/>
      <c r="P297" s="282"/>
      <c r="Q297" s="117">
        <f t="shared" si="511"/>
        <v>0</v>
      </c>
      <c r="R297" s="117">
        <f t="shared" si="512"/>
        <v>0</v>
      </c>
      <c r="S297" s="282"/>
      <c r="T297" s="282"/>
      <c r="U297" s="282"/>
    </row>
    <row r="298" spans="1:23" ht="27.75" hidden="1" customHeight="1">
      <c r="A298" s="34"/>
      <c r="B298" s="48" t="s">
        <v>426</v>
      </c>
      <c r="C298" s="12"/>
      <c r="D298" s="68"/>
      <c r="E298" s="197"/>
      <c r="F298" s="68"/>
      <c r="G298" s="68"/>
      <c r="H298" s="68"/>
      <c r="I298" s="197"/>
      <c r="J298" s="197"/>
      <c r="K298" s="197"/>
      <c r="L298" s="282"/>
      <c r="M298" s="282"/>
      <c r="N298" s="282"/>
      <c r="O298" s="282"/>
      <c r="P298" s="282"/>
      <c r="Q298" s="117">
        <f t="shared" si="511"/>
        <v>0</v>
      </c>
      <c r="R298" s="117">
        <f t="shared" si="512"/>
        <v>0</v>
      </c>
      <c r="S298" s="282"/>
      <c r="T298" s="282"/>
      <c r="U298" s="282"/>
    </row>
    <row r="299" spans="1:23" ht="32.25" hidden="1" customHeight="1">
      <c r="A299" s="34"/>
      <c r="B299" s="48" t="s">
        <v>427</v>
      </c>
      <c r="C299" s="12"/>
      <c r="D299" s="68"/>
      <c r="E299" s="197"/>
      <c r="F299" s="68"/>
      <c r="G299" s="68"/>
      <c r="H299" s="68"/>
      <c r="I299" s="197"/>
      <c r="J299" s="197"/>
      <c r="K299" s="197"/>
      <c r="L299" s="282"/>
      <c r="M299" s="282"/>
      <c r="N299" s="282"/>
      <c r="O299" s="282"/>
      <c r="P299" s="282"/>
      <c r="Q299" s="117">
        <f t="shared" si="511"/>
        <v>0</v>
      </c>
      <c r="R299" s="117">
        <f t="shared" si="512"/>
        <v>0</v>
      </c>
      <c r="S299" s="282"/>
      <c r="T299" s="282"/>
      <c r="U299" s="282"/>
    </row>
    <row r="300" spans="1:23" ht="25.5" hidden="1" customHeight="1">
      <c r="A300" s="34"/>
      <c r="B300" s="48" t="s">
        <v>428</v>
      </c>
      <c r="C300" s="12"/>
      <c r="D300" s="68"/>
      <c r="E300" s="197"/>
      <c r="F300" s="68"/>
      <c r="G300" s="68"/>
      <c r="H300" s="68"/>
      <c r="I300" s="197"/>
      <c r="J300" s="197"/>
      <c r="K300" s="197"/>
      <c r="L300" s="282"/>
      <c r="M300" s="282"/>
      <c r="N300" s="282"/>
      <c r="O300" s="282"/>
      <c r="P300" s="282"/>
      <c r="Q300" s="117">
        <f t="shared" si="511"/>
        <v>0</v>
      </c>
      <c r="R300" s="117">
        <f t="shared" si="512"/>
        <v>0</v>
      </c>
      <c r="S300" s="282"/>
      <c r="T300" s="282"/>
      <c r="U300" s="282"/>
    </row>
    <row r="301" spans="1:23" ht="31.5" hidden="1" customHeight="1">
      <c r="A301" s="34"/>
      <c r="B301" s="48" t="s">
        <v>449</v>
      </c>
      <c r="C301" s="12"/>
      <c r="D301" s="68"/>
      <c r="E301" s="197"/>
      <c r="F301" s="68"/>
      <c r="G301" s="68"/>
      <c r="H301" s="68"/>
      <c r="I301" s="197"/>
      <c r="J301" s="197"/>
      <c r="K301" s="197"/>
      <c r="L301" s="282"/>
      <c r="M301" s="282"/>
      <c r="N301" s="282"/>
      <c r="O301" s="282"/>
      <c r="P301" s="282"/>
      <c r="Q301" s="117">
        <f t="shared" si="511"/>
        <v>0</v>
      </c>
      <c r="R301" s="117">
        <f t="shared" si="512"/>
        <v>0</v>
      </c>
      <c r="S301" s="282"/>
      <c r="T301" s="282"/>
      <c r="U301" s="282"/>
    </row>
    <row r="302" spans="1:23" ht="25.5" hidden="1" customHeight="1">
      <c r="A302" s="34"/>
      <c r="B302" s="48" t="s">
        <v>450</v>
      </c>
      <c r="C302" s="12"/>
      <c r="D302" s="68"/>
      <c r="E302" s="197"/>
      <c r="F302" s="68"/>
      <c r="G302" s="68"/>
      <c r="H302" s="68"/>
      <c r="I302" s="197"/>
      <c r="J302" s="197"/>
      <c r="K302" s="197"/>
      <c r="L302" s="282"/>
      <c r="M302" s="282"/>
      <c r="N302" s="282"/>
      <c r="O302" s="282"/>
      <c r="P302" s="282"/>
      <c r="Q302" s="117">
        <f t="shared" si="511"/>
        <v>0</v>
      </c>
      <c r="R302" s="117">
        <f t="shared" si="512"/>
        <v>0</v>
      </c>
      <c r="S302" s="282"/>
      <c r="T302" s="282"/>
      <c r="U302" s="282"/>
    </row>
    <row r="303" spans="1:23" ht="25.5" hidden="1" customHeight="1">
      <c r="A303" s="34"/>
      <c r="B303" s="33" t="s">
        <v>203</v>
      </c>
      <c r="C303" s="12">
        <v>0</v>
      </c>
      <c r="D303" s="68"/>
      <c r="E303" s="197"/>
      <c r="F303" s="68"/>
      <c r="G303" s="68"/>
      <c r="H303" s="68"/>
      <c r="I303" s="197"/>
      <c r="J303" s="197"/>
      <c r="K303" s="197"/>
      <c r="L303" s="282"/>
      <c r="M303" s="282"/>
      <c r="N303" s="282"/>
      <c r="O303" s="282"/>
      <c r="P303" s="282"/>
      <c r="Q303" s="117">
        <f t="shared" si="511"/>
        <v>0</v>
      </c>
      <c r="R303" s="117">
        <f t="shared" si="512"/>
        <v>0</v>
      </c>
      <c r="S303" s="282"/>
      <c r="T303" s="282"/>
      <c r="U303" s="282"/>
    </row>
    <row r="304" spans="1:23" ht="21" hidden="1" customHeight="1">
      <c r="A304" s="34"/>
      <c r="B304" s="33" t="s">
        <v>164</v>
      </c>
      <c r="C304" s="12">
        <v>85.01</v>
      </c>
      <c r="D304" s="68"/>
      <c r="E304" s="197"/>
      <c r="F304" s="68"/>
      <c r="G304" s="68"/>
      <c r="H304" s="68"/>
      <c r="I304" s="197"/>
      <c r="J304" s="197"/>
      <c r="K304" s="197"/>
      <c r="L304" s="282"/>
      <c r="M304" s="282"/>
      <c r="N304" s="282"/>
      <c r="O304" s="282"/>
      <c r="P304" s="282"/>
      <c r="Q304" s="117">
        <f t="shared" si="511"/>
        <v>0</v>
      </c>
      <c r="R304" s="117">
        <f t="shared" si="512"/>
        <v>0</v>
      </c>
      <c r="S304" s="282"/>
      <c r="T304" s="282"/>
      <c r="U304" s="282"/>
    </row>
    <row r="305" spans="1:21" ht="57.75" customHeight="1">
      <c r="A305" s="34"/>
      <c r="B305" s="49" t="s">
        <v>419</v>
      </c>
      <c r="C305" s="93"/>
      <c r="D305" s="78">
        <f t="shared" ref="D305:U306" si="548">D306</f>
        <v>29.200000000000003</v>
      </c>
      <c r="E305" s="78">
        <f t="shared" si="548"/>
        <v>29.400000000000002</v>
      </c>
      <c r="F305" s="78">
        <f t="shared" si="548"/>
        <v>2000</v>
      </c>
      <c r="G305" s="78">
        <f t="shared" si="548"/>
        <v>2000</v>
      </c>
      <c r="H305" s="78">
        <f t="shared" si="548"/>
        <v>2000</v>
      </c>
      <c r="I305" s="78">
        <f t="shared" si="548"/>
        <v>6511</v>
      </c>
      <c r="J305" s="78">
        <f t="shared" si="548"/>
        <v>6511</v>
      </c>
      <c r="K305" s="78">
        <f t="shared" si="548"/>
        <v>6511</v>
      </c>
      <c r="L305" s="297">
        <f t="shared" si="548"/>
        <v>6511</v>
      </c>
      <c r="M305" s="297">
        <f t="shared" si="548"/>
        <v>1749</v>
      </c>
      <c r="N305" s="297">
        <f t="shared" si="548"/>
        <v>1587</v>
      </c>
      <c r="O305" s="297">
        <f t="shared" si="548"/>
        <v>1587</v>
      </c>
      <c r="P305" s="297">
        <f t="shared" si="548"/>
        <v>1588</v>
      </c>
      <c r="Q305" s="117">
        <f t="shared" si="511"/>
        <v>6511</v>
      </c>
      <c r="R305" s="117">
        <f t="shared" si="512"/>
        <v>0</v>
      </c>
      <c r="S305" s="297">
        <f t="shared" si="548"/>
        <v>6500</v>
      </c>
      <c r="T305" s="297">
        <f t="shared" si="548"/>
        <v>6370</v>
      </c>
      <c r="U305" s="297">
        <f t="shared" si="548"/>
        <v>0</v>
      </c>
    </row>
    <row r="306" spans="1:21" ht="21" customHeight="1">
      <c r="A306" s="34"/>
      <c r="B306" s="33" t="s">
        <v>165</v>
      </c>
      <c r="C306" s="12"/>
      <c r="D306" s="69">
        <f t="shared" si="548"/>
        <v>29.200000000000003</v>
      </c>
      <c r="E306" s="69">
        <f t="shared" si="548"/>
        <v>29.400000000000002</v>
      </c>
      <c r="F306" s="69">
        <f t="shared" si="548"/>
        <v>2000</v>
      </c>
      <c r="G306" s="69">
        <f t="shared" si="548"/>
        <v>2000</v>
      </c>
      <c r="H306" s="69">
        <f t="shared" si="548"/>
        <v>2000</v>
      </c>
      <c r="I306" s="69">
        <f t="shared" si="548"/>
        <v>6511</v>
      </c>
      <c r="J306" s="69">
        <f t="shared" si="548"/>
        <v>6511</v>
      </c>
      <c r="K306" s="69">
        <f t="shared" si="548"/>
        <v>6511</v>
      </c>
      <c r="L306" s="283">
        <f t="shared" si="548"/>
        <v>6511</v>
      </c>
      <c r="M306" s="283">
        <f t="shared" si="548"/>
        <v>1749</v>
      </c>
      <c r="N306" s="283">
        <f t="shared" si="548"/>
        <v>1587</v>
      </c>
      <c r="O306" s="283">
        <f t="shared" si="548"/>
        <v>1587</v>
      </c>
      <c r="P306" s="283">
        <f t="shared" si="548"/>
        <v>1588</v>
      </c>
      <c r="Q306" s="117">
        <f t="shared" si="511"/>
        <v>6511</v>
      </c>
      <c r="R306" s="117">
        <f t="shared" si="512"/>
        <v>0</v>
      </c>
      <c r="S306" s="283">
        <f t="shared" si="548"/>
        <v>6500</v>
      </c>
      <c r="T306" s="283">
        <f t="shared" si="548"/>
        <v>6370</v>
      </c>
      <c r="U306" s="283">
        <f t="shared" si="548"/>
        <v>0</v>
      </c>
    </row>
    <row r="307" spans="1:21" ht="28.5" customHeight="1">
      <c r="A307" s="34"/>
      <c r="B307" s="32" t="s">
        <v>445</v>
      </c>
      <c r="C307" s="12">
        <v>58</v>
      </c>
      <c r="D307" s="69">
        <f t="shared" ref="D307:U307" si="549">D308+D309+D310</f>
        <v>29.200000000000003</v>
      </c>
      <c r="E307" s="69">
        <f t="shared" ref="E307:F307" si="550">E308+E309+E310</f>
        <v>29.400000000000002</v>
      </c>
      <c r="F307" s="69">
        <f t="shared" si="550"/>
        <v>2000</v>
      </c>
      <c r="G307" s="69">
        <f t="shared" si="549"/>
        <v>2000</v>
      </c>
      <c r="H307" s="69">
        <f t="shared" si="549"/>
        <v>2000</v>
      </c>
      <c r="I307" s="69">
        <f t="shared" si="549"/>
        <v>6511</v>
      </c>
      <c r="J307" s="69">
        <f t="shared" si="549"/>
        <v>6511</v>
      </c>
      <c r="K307" s="69">
        <f t="shared" ref="K307:L307" si="551">K308+K309+K310</f>
        <v>6511</v>
      </c>
      <c r="L307" s="283">
        <f t="shared" si="551"/>
        <v>6511</v>
      </c>
      <c r="M307" s="283">
        <f t="shared" ref="M307:P307" si="552">M308+M309+M310</f>
        <v>1749</v>
      </c>
      <c r="N307" s="283">
        <f t="shared" si="552"/>
        <v>1587</v>
      </c>
      <c r="O307" s="283">
        <f t="shared" si="552"/>
        <v>1587</v>
      </c>
      <c r="P307" s="283">
        <f t="shared" si="552"/>
        <v>1588</v>
      </c>
      <c r="Q307" s="117">
        <f t="shared" si="511"/>
        <v>6511</v>
      </c>
      <c r="R307" s="117">
        <f t="shared" si="512"/>
        <v>0</v>
      </c>
      <c r="S307" s="283">
        <f t="shared" si="549"/>
        <v>6500</v>
      </c>
      <c r="T307" s="283">
        <f t="shared" si="549"/>
        <v>6370</v>
      </c>
      <c r="U307" s="283">
        <f t="shared" si="549"/>
        <v>0</v>
      </c>
    </row>
    <row r="308" spans="1:21" ht="14.25" customHeight="1">
      <c r="A308" s="34"/>
      <c r="B308" s="21" t="s">
        <v>477</v>
      </c>
      <c r="C308" s="12" t="s">
        <v>478</v>
      </c>
      <c r="D308" s="123">
        <v>3.8</v>
      </c>
      <c r="E308" s="197">
        <v>3.8</v>
      </c>
      <c r="F308" s="123">
        <v>256</v>
      </c>
      <c r="G308" s="123">
        <v>256</v>
      </c>
      <c r="H308" s="123">
        <v>256</v>
      </c>
      <c r="I308" s="197">
        <v>842</v>
      </c>
      <c r="J308" s="197">
        <v>842</v>
      </c>
      <c r="K308" s="197">
        <v>842</v>
      </c>
      <c r="L308" s="282">
        <v>842</v>
      </c>
      <c r="M308" s="282">
        <v>210</v>
      </c>
      <c r="N308" s="282">
        <v>210</v>
      </c>
      <c r="O308" s="282">
        <v>210</v>
      </c>
      <c r="P308" s="282">
        <v>212</v>
      </c>
      <c r="Q308" s="117">
        <f t="shared" si="511"/>
        <v>842</v>
      </c>
      <c r="R308" s="117">
        <f t="shared" si="512"/>
        <v>0</v>
      </c>
      <c r="S308" s="282">
        <v>845</v>
      </c>
      <c r="T308" s="282">
        <v>845</v>
      </c>
      <c r="U308" s="282"/>
    </row>
    <row r="309" spans="1:21" ht="15" customHeight="1">
      <c r="A309" s="34"/>
      <c r="B309" s="21" t="s">
        <v>479</v>
      </c>
      <c r="C309" s="12" t="s">
        <v>447</v>
      </c>
      <c r="D309" s="123">
        <v>24.8</v>
      </c>
      <c r="E309" s="197">
        <v>25</v>
      </c>
      <c r="F309" s="123">
        <v>1673</v>
      </c>
      <c r="G309" s="123">
        <v>1673</v>
      </c>
      <c r="H309" s="123">
        <v>1673</v>
      </c>
      <c r="I309" s="197">
        <v>5507</v>
      </c>
      <c r="J309" s="197">
        <v>5507</v>
      </c>
      <c r="K309" s="197">
        <v>5507</v>
      </c>
      <c r="L309" s="282">
        <v>5507</v>
      </c>
      <c r="M309" s="282">
        <v>1377</v>
      </c>
      <c r="N309" s="282">
        <v>1377</v>
      </c>
      <c r="O309" s="282">
        <v>1377</v>
      </c>
      <c r="P309" s="282">
        <v>1376</v>
      </c>
      <c r="Q309" s="117">
        <f t="shared" si="511"/>
        <v>5507</v>
      </c>
      <c r="R309" s="117">
        <f t="shared" si="512"/>
        <v>0</v>
      </c>
      <c r="S309" s="282">
        <v>5525</v>
      </c>
      <c r="T309" s="282">
        <v>5525</v>
      </c>
      <c r="U309" s="282"/>
    </row>
    <row r="310" spans="1:21" ht="15.75" customHeight="1">
      <c r="A310" s="34"/>
      <c r="B310" s="21" t="s">
        <v>480</v>
      </c>
      <c r="C310" s="12" t="s">
        <v>448</v>
      </c>
      <c r="D310" s="123">
        <v>0.6</v>
      </c>
      <c r="E310" s="197">
        <v>0.6</v>
      </c>
      <c r="F310" s="123">
        <v>71</v>
      </c>
      <c r="G310" s="123">
        <v>71</v>
      </c>
      <c r="H310" s="123">
        <v>71</v>
      </c>
      <c r="I310" s="197">
        <v>162</v>
      </c>
      <c r="J310" s="197">
        <v>162</v>
      </c>
      <c r="K310" s="197">
        <v>162</v>
      </c>
      <c r="L310" s="282">
        <v>162</v>
      </c>
      <c r="M310" s="282">
        <v>162</v>
      </c>
      <c r="N310" s="282"/>
      <c r="O310" s="282"/>
      <c r="P310" s="282"/>
      <c r="Q310" s="117">
        <f t="shared" si="511"/>
        <v>162</v>
      </c>
      <c r="R310" s="117">
        <f t="shared" si="512"/>
        <v>0</v>
      </c>
      <c r="S310" s="282">
        <v>130</v>
      </c>
      <c r="T310" s="282">
        <v>0</v>
      </c>
      <c r="U310" s="282"/>
    </row>
    <row r="311" spans="1:21" ht="47.25" customHeight="1">
      <c r="A311" s="34"/>
      <c r="B311" s="49" t="s">
        <v>420</v>
      </c>
      <c r="C311" s="93"/>
      <c r="D311" s="78">
        <f t="shared" ref="D311:U312" si="553">D312</f>
        <v>0</v>
      </c>
      <c r="E311" s="78">
        <f t="shared" si="553"/>
        <v>36.800000000000004</v>
      </c>
      <c r="F311" s="78">
        <f t="shared" si="553"/>
        <v>2500</v>
      </c>
      <c r="G311" s="78">
        <f t="shared" si="553"/>
        <v>2500</v>
      </c>
      <c r="H311" s="78">
        <f t="shared" si="553"/>
        <v>2500</v>
      </c>
      <c r="I311" s="78">
        <f t="shared" si="553"/>
        <v>7151</v>
      </c>
      <c r="J311" s="78">
        <f t="shared" si="553"/>
        <v>7151</v>
      </c>
      <c r="K311" s="78">
        <f t="shared" si="553"/>
        <v>7151</v>
      </c>
      <c r="L311" s="297">
        <f t="shared" si="553"/>
        <v>6151</v>
      </c>
      <c r="M311" s="297">
        <f t="shared" si="553"/>
        <v>1630</v>
      </c>
      <c r="N311" s="297">
        <f t="shared" si="553"/>
        <v>1507</v>
      </c>
      <c r="O311" s="297">
        <f t="shared" si="553"/>
        <v>1507</v>
      </c>
      <c r="P311" s="297">
        <f t="shared" si="553"/>
        <v>1507</v>
      </c>
      <c r="Q311" s="117">
        <f t="shared" si="511"/>
        <v>6151</v>
      </c>
      <c r="R311" s="117">
        <f t="shared" si="512"/>
        <v>0</v>
      </c>
      <c r="S311" s="297">
        <f t="shared" si="553"/>
        <v>8151</v>
      </c>
      <c r="T311" s="297">
        <f t="shared" si="553"/>
        <v>6980</v>
      </c>
      <c r="U311" s="297">
        <f t="shared" si="553"/>
        <v>0</v>
      </c>
    </row>
    <row r="312" spans="1:21" ht="20.25" customHeight="1">
      <c r="A312" s="34"/>
      <c r="B312" s="33" t="s">
        <v>165</v>
      </c>
      <c r="C312" s="12"/>
      <c r="D312" s="68">
        <f t="shared" si="553"/>
        <v>0</v>
      </c>
      <c r="E312" s="68">
        <f t="shared" si="553"/>
        <v>36.800000000000004</v>
      </c>
      <c r="F312" s="68">
        <f t="shared" si="553"/>
        <v>2500</v>
      </c>
      <c r="G312" s="68">
        <f t="shared" si="553"/>
        <v>2500</v>
      </c>
      <c r="H312" s="68">
        <f t="shared" si="553"/>
        <v>2500</v>
      </c>
      <c r="I312" s="68">
        <f t="shared" si="553"/>
        <v>7151</v>
      </c>
      <c r="J312" s="68">
        <f t="shared" si="553"/>
        <v>7151</v>
      </c>
      <c r="K312" s="68">
        <f t="shared" si="553"/>
        <v>7151</v>
      </c>
      <c r="L312" s="176">
        <f t="shared" si="553"/>
        <v>6151</v>
      </c>
      <c r="M312" s="176">
        <f t="shared" si="553"/>
        <v>1630</v>
      </c>
      <c r="N312" s="176">
        <f t="shared" si="553"/>
        <v>1507</v>
      </c>
      <c r="O312" s="176">
        <f t="shared" si="553"/>
        <v>1507</v>
      </c>
      <c r="P312" s="176">
        <f t="shared" si="553"/>
        <v>1507</v>
      </c>
      <c r="Q312" s="117">
        <f t="shared" si="511"/>
        <v>6151</v>
      </c>
      <c r="R312" s="117">
        <f t="shared" si="512"/>
        <v>0</v>
      </c>
      <c r="S312" s="176">
        <f t="shared" si="553"/>
        <v>8151</v>
      </c>
      <c r="T312" s="176">
        <f t="shared" si="553"/>
        <v>6980</v>
      </c>
      <c r="U312" s="176">
        <f t="shared" si="553"/>
        <v>0</v>
      </c>
    </row>
    <row r="313" spans="1:21" ht="18" customHeight="1">
      <c r="A313" s="34"/>
      <c r="B313" s="32" t="s">
        <v>445</v>
      </c>
      <c r="C313" s="12">
        <v>58</v>
      </c>
      <c r="D313" s="69">
        <f t="shared" ref="D313:U313" si="554">D314+D315+D316</f>
        <v>0</v>
      </c>
      <c r="E313" s="69">
        <f t="shared" ref="E313:F313" si="555">E314+E315+E316</f>
        <v>36.800000000000004</v>
      </c>
      <c r="F313" s="69">
        <f t="shared" si="555"/>
        <v>2500</v>
      </c>
      <c r="G313" s="69">
        <f t="shared" si="554"/>
        <v>2500</v>
      </c>
      <c r="H313" s="69">
        <f t="shared" si="554"/>
        <v>2500</v>
      </c>
      <c r="I313" s="69">
        <f t="shared" si="554"/>
        <v>7151</v>
      </c>
      <c r="J313" s="69">
        <f t="shared" si="554"/>
        <v>7151</v>
      </c>
      <c r="K313" s="69">
        <f t="shared" ref="K313:L313" si="556">K314+K315+K316</f>
        <v>7151</v>
      </c>
      <c r="L313" s="283">
        <f t="shared" si="556"/>
        <v>6151</v>
      </c>
      <c r="M313" s="283">
        <f t="shared" ref="M313:P313" si="557">M314+M315+M316</f>
        <v>1630</v>
      </c>
      <c r="N313" s="283">
        <f t="shared" si="557"/>
        <v>1507</v>
      </c>
      <c r="O313" s="283">
        <f t="shared" si="557"/>
        <v>1507</v>
      </c>
      <c r="P313" s="283">
        <f t="shared" si="557"/>
        <v>1507</v>
      </c>
      <c r="Q313" s="117">
        <f t="shared" si="511"/>
        <v>6151</v>
      </c>
      <c r="R313" s="117">
        <f t="shared" si="512"/>
        <v>0</v>
      </c>
      <c r="S313" s="283">
        <f t="shared" si="554"/>
        <v>8151</v>
      </c>
      <c r="T313" s="283">
        <f t="shared" si="554"/>
        <v>6980</v>
      </c>
      <c r="U313" s="283">
        <f t="shared" si="554"/>
        <v>0</v>
      </c>
    </row>
    <row r="314" spans="1:21" ht="19.5" customHeight="1">
      <c r="A314" s="34"/>
      <c r="B314" s="21" t="s">
        <v>477</v>
      </c>
      <c r="C314" s="12" t="s">
        <v>478</v>
      </c>
      <c r="D314" s="68">
        <v>0</v>
      </c>
      <c r="E314" s="197">
        <v>4.8</v>
      </c>
      <c r="F314" s="68">
        <v>325</v>
      </c>
      <c r="G314" s="68">
        <v>325</v>
      </c>
      <c r="H314" s="68">
        <v>325</v>
      </c>
      <c r="I314" s="197">
        <v>930</v>
      </c>
      <c r="J314" s="197">
        <v>930</v>
      </c>
      <c r="K314" s="197">
        <v>930</v>
      </c>
      <c r="L314" s="282">
        <v>800</v>
      </c>
      <c r="M314" s="282">
        <v>200</v>
      </c>
      <c r="N314" s="282">
        <v>200</v>
      </c>
      <c r="O314" s="282">
        <v>200</v>
      </c>
      <c r="P314" s="282">
        <v>200</v>
      </c>
      <c r="Q314" s="117">
        <f t="shared" si="511"/>
        <v>800</v>
      </c>
      <c r="R314" s="117">
        <f t="shared" si="512"/>
        <v>0</v>
      </c>
      <c r="S314" s="282">
        <v>1060</v>
      </c>
      <c r="T314" s="282">
        <v>926</v>
      </c>
      <c r="U314" s="282"/>
    </row>
    <row r="315" spans="1:21" ht="16.5" customHeight="1">
      <c r="A315" s="34"/>
      <c r="B315" s="21" t="s">
        <v>479</v>
      </c>
      <c r="C315" s="12" t="s">
        <v>447</v>
      </c>
      <c r="D315" s="68">
        <v>0</v>
      </c>
      <c r="E315" s="197">
        <v>31.3</v>
      </c>
      <c r="F315" s="68">
        <v>2125</v>
      </c>
      <c r="G315" s="68">
        <v>2125</v>
      </c>
      <c r="H315" s="68">
        <v>2125</v>
      </c>
      <c r="I315" s="197">
        <v>6078</v>
      </c>
      <c r="J315" s="197">
        <v>6078</v>
      </c>
      <c r="K315" s="197">
        <v>6078</v>
      </c>
      <c r="L315" s="282">
        <v>5228</v>
      </c>
      <c r="M315" s="282">
        <v>1307</v>
      </c>
      <c r="N315" s="282">
        <v>1307</v>
      </c>
      <c r="O315" s="282">
        <v>1307</v>
      </c>
      <c r="P315" s="282">
        <v>1307</v>
      </c>
      <c r="Q315" s="117">
        <f t="shared" si="511"/>
        <v>5228</v>
      </c>
      <c r="R315" s="117">
        <f t="shared" si="512"/>
        <v>0</v>
      </c>
      <c r="S315" s="282">
        <v>6928</v>
      </c>
      <c r="T315" s="282">
        <v>6054</v>
      </c>
      <c r="U315" s="282"/>
    </row>
    <row r="316" spans="1:21" ht="13.5" customHeight="1">
      <c r="A316" s="34"/>
      <c r="B316" s="21" t="s">
        <v>480</v>
      </c>
      <c r="C316" s="12" t="s">
        <v>448</v>
      </c>
      <c r="D316" s="68">
        <v>0</v>
      </c>
      <c r="E316" s="197">
        <v>0.7</v>
      </c>
      <c r="F316" s="68">
        <v>50</v>
      </c>
      <c r="G316" s="68">
        <v>50</v>
      </c>
      <c r="H316" s="68">
        <v>50</v>
      </c>
      <c r="I316" s="197">
        <v>143</v>
      </c>
      <c r="J316" s="197">
        <v>143</v>
      </c>
      <c r="K316" s="197">
        <v>143</v>
      </c>
      <c r="L316" s="282">
        <v>123</v>
      </c>
      <c r="M316" s="282">
        <v>123</v>
      </c>
      <c r="N316" s="282"/>
      <c r="O316" s="282"/>
      <c r="P316" s="282"/>
      <c r="Q316" s="117">
        <f t="shared" si="511"/>
        <v>123</v>
      </c>
      <c r="R316" s="117">
        <f t="shared" si="512"/>
        <v>0</v>
      </c>
      <c r="S316" s="282">
        <v>163</v>
      </c>
      <c r="T316" s="282">
        <v>0</v>
      </c>
      <c r="U316" s="282"/>
    </row>
    <row r="317" spans="1:21" ht="31.5" customHeight="1">
      <c r="A317" s="34"/>
      <c r="B317" s="49" t="s">
        <v>421</v>
      </c>
      <c r="C317" s="93"/>
      <c r="D317" s="78">
        <f t="shared" ref="D317:U318" si="558">D318</f>
        <v>7.1</v>
      </c>
      <c r="E317" s="78">
        <f t="shared" si="558"/>
        <v>0</v>
      </c>
      <c r="F317" s="78">
        <f t="shared" si="558"/>
        <v>171</v>
      </c>
      <c r="G317" s="78">
        <f t="shared" si="558"/>
        <v>171</v>
      </c>
      <c r="H317" s="78">
        <f t="shared" si="558"/>
        <v>171</v>
      </c>
      <c r="I317" s="78">
        <f t="shared" si="558"/>
        <v>1500</v>
      </c>
      <c r="J317" s="78">
        <f t="shared" si="558"/>
        <v>1500</v>
      </c>
      <c r="K317" s="78">
        <f t="shared" si="558"/>
        <v>1500</v>
      </c>
      <c r="L317" s="297">
        <f t="shared" si="558"/>
        <v>1000</v>
      </c>
      <c r="M317" s="297">
        <f t="shared" si="558"/>
        <v>266</v>
      </c>
      <c r="N317" s="297">
        <f t="shared" si="558"/>
        <v>246</v>
      </c>
      <c r="O317" s="297">
        <f t="shared" si="558"/>
        <v>246</v>
      </c>
      <c r="P317" s="297">
        <f t="shared" si="558"/>
        <v>242</v>
      </c>
      <c r="Q317" s="117">
        <f t="shared" si="511"/>
        <v>1000</v>
      </c>
      <c r="R317" s="117">
        <f t="shared" si="512"/>
        <v>0</v>
      </c>
      <c r="S317" s="297">
        <f t="shared" si="558"/>
        <v>11340</v>
      </c>
      <c r="T317" s="297">
        <f t="shared" si="558"/>
        <v>10832</v>
      </c>
      <c r="U317" s="297">
        <f t="shared" si="558"/>
        <v>0</v>
      </c>
    </row>
    <row r="318" spans="1:21" ht="18.75" customHeight="1">
      <c r="A318" s="34"/>
      <c r="B318" s="33" t="s">
        <v>165</v>
      </c>
      <c r="C318" s="12"/>
      <c r="D318" s="69">
        <f t="shared" si="558"/>
        <v>7.1</v>
      </c>
      <c r="E318" s="69">
        <f t="shared" si="558"/>
        <v>0</v>
      </c>
      <c r="F318" s="69">
        <f t="shared" si="558"/>
        <v>171</v>
      </c>
      <c r="G318" s="69">
        <f t="shared" si="558"/>
        <v>171</v>
      </c>
      <c r="H318" s="69">
        <f t="shared" si="558"/>
        <v>171</v>
      </c>
      <c r="I318" s="69">
        <f t="shared" si="558"/>
        <v>1500</v>
      </c>
      <c r="J318" s="69">
        <f t="shared" si="558"/>
        <v>1500</v>
      </c>
      <c r="K318" s="69">
        <f t="shared" si="558"/>
        <v>1500</v>
      </c>
      <c r="L318" s="283">
        <f t="shared" si="558"/>
        <v>1000</v>
      </c>
      <c r="M318" s="283">
        <f t="shared" si="558"/>
        <v>266</v>
      </c>
      <c r="N318" s="283">
        <f t="shared" si="558"/>
        <v>246</v>
      </c>
      <c r="O318" s="283">
        <f t="shared" si="558"/>
        <v>246</v>
      </c>
      <c r="P318" s="283">
        <f t="shared" si="558"/>
        <v>242</v>
      </c>
      <c r="Q318" s="117">
        <f t="shared" si="511"/>
        <v>1000</v>
      </c>
      <c r="R318" s="117">
        <f t="shared" si="512"/>
        <v>0</v>
      </c>
      <c r="S318" s="283">
        <f t="shared" si="558"/>
        <v>11340</v>
      </c>
      <c r="T318" s="283">
        <f t="shared" si="558"/>
        <v>10832</v>
      </c>
      <c r="U318" s="283">
        <f t="shared" si="558"/>
        <v>0</v>
      </c>
    </row>
    <row r="319" spans="1:21" ht="26.25" customHeight="1">
      <c r="A319" s="34"/>
      <c r="B319" s="32" t="s">
        <v>445</v>
      </c>
      <c r="C319" s="12">
        <v>58</v>
      </c>
      <c r="D319" s="69">
        <f t="shared" ref="D319:U319" si="559">D320+D321+D322</f>
        <v>7.1</v>
      </c>
      <c r="E319" s="69">
        <f t="shared" ref="E319:F319" si="560">E320+E321+E322</f>
        <v>0</v>
      </c>
      <c r="F319" s="69">
        <f t="shared" si="560"/>
        <v>171</v>
      </c>
      <c r="G319" s="69">
        <f t="shared" si="559"/>
        <v>171</v>
      </c>
      <c r="H319" s="69">
        <f t="shared" si="559"/>
        <v>171</v>
      </c>
      <c r="I319" s="69">
        <f t="shared" si="559"/>
        <v>1500</v>
      </c>
      <c r="J319" s="69">
        <f t="shared" si="559"/>
        <v>1500</v>
      </c>
      <c r="K319" s="69">
        <f t="shared" ref="K319:L319" si="561">K320+K321+K322</f>
        <v>1500</v>
      </c>
      <c r="L319" s="283">
        <f t="shared" si="561"/>
        <v>1000</v>
      </c>
      <c r="M319" s="283">
        <f t="shared" ref="M319:P319" si="562">M320+M321+M322</f>
        <v>266</v>
      </c>
      <c r="N319" s="283">
        <f t="shared" si="562"/>
        <v>246</v>
      </c>
      <c r="O319" s="283">
        <f t="shared" si="562"/>
        <v>246</v>
      </c>
      <c r="P319" s="283">
        <f t="shared" si="562"/>
        <v>242</v>
      </c>
      <c r="Q319" s="117">
        <f t="shared" si="511"/>
        <v>1000</v>
      </c>
      <c r="R319" s="117">
        <f t="shared" si="512"/>
        <v>0</v>
      </c>
      <c r="S319" s="283">
        <f t="shared" si="559"/>
        <v>11340</v>
      </c>
      <c r="T319" s="283">
        <f t="shared" si="559"/>
        <v>10832</v>
      </c>
      <c r="U319" s="283">
        <f t="shared" si="559"/>
        <v>0</v>
      </c>
    </row>
    <row r="320" spans="1:21" ht="16.5" customHeight="1">
      <c r="A320" s="34"/>
      <c r="B320" s="21" t="s">
        <v>477</v>
      </c>
      <c r="C320" s="12" t="s">
        <v>478</v>
      </c>
      <c r="D320" s="68">
        <v>0</v>
      </c>
      <c r="E320" s="197">
        <v>0</v>
      </c>
      <c r="F320" s="68">
        <v>22</v>
      </c>
      <c r="G320" s="68">
        <v>22</v>
      </c>
      <c r="H320" s="68">
        <v>22</v>
      </c>
      <c r="I320" s="197">
        <v>195</v>
      </c>
      <c r="J320" s="197">
        <v>195</v>
      </c>
      <c r="K320" s="197">
        <v>195</v>
      </c>
      <c r="L320" s="282">
        <v>130</v>
      </c>
      <c r="M320" s="282">
        <v>33</v>
      </c>
      <c r="N320" s="282">
        <v>33</v>
      </c>
      <c r="O320" s="282">
        <v>33</v>
      </c>
      <c r="P320" s="282">
        <v>31</v>
      </c>
      <c r="Q320" s="117">
        <f t="shared" si="511"/>
        <v>130</v>
      </c>
      <c r="R320" s="117">
        <f t="shared" si="512"/>
        <v>0</v>
      </c>
      <c r="S320" s="282">
        <v>602</v>
      </c>
      <c r="T320" s="282">
        <v>536</v>
      </c>
      <c r="U320" s="282"/>
    </row>
    <row r="321" spans="1:21" ht="17.25" customHeight="1">
      <c r="A321" s="34"/>
      <c r="B321" s="21" t="s">
        <v>479</v>
      </c>
      <c r="C321" s="12" t="s">
        <v>447</v>
      </c>
      <c r="D321" s="68">
        <v>7.1</v>
      </c>
      <c r="E321" s="197">
        <v>0</v>
      </c>
      <c r="F321" s="68">
        <v>145</v>
      </c>
      <c r="G321" s="68">
        <v>145</v>
      </c>
      <c r="H321" s="68">
        <v>145</v>
      </c>
      <c r="I321" s="197">
        <v>1275</v>
      </c>
      <c r="J321" s="197">
        <v>1275</v>
      </c>
      <c r="K321" s="197">
        <v>1275</v>
      </c>
      <c r="L321" s="282">
        <v>850</v>
      </c>
      <c r="M321" s="282">
        <v>213</v>
      </c>
      <c r="N321" s="282">
        <v>213</v>
      </c>
      <c r="O321" s="282">
        <v>213</v>
      </c>
      <c r="P321" s="282">
        <v>211</v>
      </c>
      <c r="Q321" s="117">
        <f t="shared" si="511"/>
        <v>850</v>
      </c>
      <c r="R321" s="117">
        <f t="shared" si="512"/>
        <v>0</v>
      </c>
      <c r="S321" s="282">
        <v>3936</v>
      </c>
      <c r="T321" s="282">
        <v>3505</v>
      </c>
      <c r="U321" s="282"/>
    </row>
    <row r="322" spans="1:21" ht="21" customHeight="1">
      <c r="A322" s="34"/>
      <c r="B322" s="21" t="s">
        <v>480</v>
      </c>
      <c r="C322" s="12" t="s">
        <v>448</v>
      </c>
      <c r="D322" s="68">
        <v>0</v>
      </c>
      <c r="E322" s="197">
        <v>0</v>
      </c>
      <c r="F322" s="68">
        <v>4</v>
      </c>
      <c r="G322" s="68">
        <v>4</v>
      </c>
      <c r="H322" s="68">
        <v>4</v>
      </c>
      <c r="I322" s="197">
        <v>30</v>
      </c>
      <c r="J322" s="197">
        <v>30</v>
      </c>
      <c r="K322" s="197">
        <v>30</v>
      </c>
      <c r="L322" s="282">
        <v>20</v>
      </c>
      <c r="M322" s="282">
        <v>20</v>
      </c>
      <c r="N322" s="282"/>
      <c r="O322" s="282"/>
      <c r="P322" s="282"/>
      <c r="Q322" s="117">
        <f t="shared" si="511"/>
        <v>20</v>
      </c>
      <c r="R322" s="117">
        <f t="shared" si="512"/>
        <v>0</v>
      </c>
      <c r="S322" s="282">
        <v>6802</v>
      </c>
      <c r="T322" s="282">
        <v>6791</v>
      </c>
      <c r="U322" s="282"/>
    </row>
    <row r="323" spans="1:21" ht="40.5" customHeight="1">
      <c r="A323" s="34"/>
      <c r="B323" s="49" t="s">
        <v>422</v>
      </c>
      <c r="C323" s="92"/>
      <c r="D323" s="77">
        <f t="shared" ref="D323:U324" si="563">D324</f>
        <v>0</v>
      </c>
      <c r="E323" s="77">
        <f t="shared" si="563"/>
        <v>7.6</v>
      </c>
      <c r="F323" s="77">
        <f t="shared" si="563"/>
        <v>4130</v>
      </c>
      <c r="G323" s="77">
        <f t="shared" si="563"/>
        <v>4130</v>
      </c>
      <c r="H323" s="77">
        <f t="shared" si="563"/>
        <v>4130</v>
      </c>
      <c r="I323" s="77">
        <f t="shared" si="563"/>
        <v>4122</v>
      </c>
      <c r="J323" s="77">
        <f t="shared" si="563"/>
        <v>3622</v>
      </c>
      <c r="K323" s="77">
        <f t="shared" si="563"/>
        <v>4122</v>
      </c>
      <c r="L323" s="298">
        <f t="shared" si="563"/>
        <v>3122</v>
      </c>
      <c r="M323" s="298">
        <f t="shared" si="563"/>
        <v>1222</v>
      </c>
      <c r="N323" s="298">
        <f t="shared" si="563"/>
        <v>629</v>
      </c>
      <c r="O323" s="298">
        <f t="shared" si="563"/>
        <v>629</v>
      </c>
      <c r="P323" s="298">
        <f t="shared" si="563"/>
        <v>642</v>
      </c>
      <c r="Q323" s="117">
        <f t="shared" si="511"/>
        <v>3122</v>
      </c>
      <c r="R323" s="117">
        <f t="shared" si="512"/>
        <v>0</v>
      </c>
      <c r="S323" s="298">
        <f t="shared" si="563"/>
        <v>490</v>
      </c>
      <c r="T323" s="298">
        <f t="shared" si="563"/>
        <v>0</v>
      </c>
      <c r="U323" s="298">
        <f t="shared" si="563"/>
        <v>0</v>
      </c>
    </row>
    <row r="324" spans="1:21" ht="21" customHeight="1">
      <c r="A324" s="34"/>
      <c r="B324" s="33" t="s">
        <v>165</v>
      </c>
      <c r="C324" s="12"/>
      <c r="D324" s="69">
        <f t="shared" si="563"/>
        <v>0</v>
      </c>
      <c r="E324" s="69">
        <f t="shared" si="563"/>
        <v>7.6</v>
      </c>
      <c r="F324" s="69">
        <f t="shared" si="563"/>
        <v>4130</v>
      </c>
      <c r="G324" s="69">
        <f t="shared" si="563"/>
        <v>4130</v>
      </c>
      <c r="H324" s="69">
        <f t="shared" si="563"/>
        <v>4130</v>
      </c>
      <c r="I324" s="69">
        <f t="shared" si="563"/>
        <v>4122</v>
      </c>
      <c r="J324" s="69">
        <f t="shared" si="563"/>
        <v>3622</v>
      </c>
      <c r="K324" s="69">
        <f t="shared" si="563"/>
        <v>4122</v>
      </c>
      <c r="L324" s="283">
        <f t="shared" si="563"/>
        <v>3122</v>
      </c>
      <c r="M324" s="283">
        <f t="shared" si="563"/>
        <v>1222</v>
      </c>
      <c r="N324" s="283">
        <f t="shared" si="563"/>
        <v>629</v>
      </c>
      <c r="O324" s="283">
        <f t="shared" si="563"/>
        <v>629</v>
      </c>
      <c r="P324" s="283">
        <f t="shared" si="563"/>
        <v>642</v>
      </c>
      <c r="Q324" s="117">
        <f t="shared" si="511"/>
        <v>3122</v>
      </c>
      <c r="R324" s="117">
        <f t="shared" si="512"/>
        <v>0</v>
      </c>
      <c r="S324" s="283">
        <f t="shared" si="563"/>
        <v>490</v>
      </c>
      <c r="T324" s="283">
        <f t="shared" si="563"/>
        <v>0</v>
      </c>
      <c r="U324" s="283">
        <f t="shared" si="563"/>
        <v>0</v>
      </c>
    </row>
    <row r="325" spans="1:21" ht="30" customHeight="1">
      <c r="A325" s="34"/>
      <c r="B325" s="32" t="s">
        <v>445</v>
      </c>
      <c r="C325" s="12">
        <v>58</v>
      </c>
      <c r="D325" s="69">
        <f t="shared" ref="D325:U325" si="564">D326+D327+D328</f>
        <v>0</v>
      </c>
      <c r="E325" s="69">
        <f t="shared" ref="E325:F325" si="565">E326+E327+E328</f>
        <v>7.6</v>
      </c>
      <c r="F325" s="69">
        <f t="shared" si="565"/>
        <v>4130</v>
      </c>
      <c r="G325" s="69">
        <f t="shared" si="564"/>
        <v>4130</v>
      </c>
      <c r="H325" s="69">
        <f t="shared" si="564"/>
        <v>4130</v>
      </c>
      <c r="I325" s="69">
        <f t="shared" si="564"/>
        <v>4122</v>
      </c>
      <c r="J325" s="69">
        <f t="shared" si="564"/>
        <v>3622</v>
      </c>
      <c r="K325" s="69">
        <f t="shared" ref="K325:L325" si="566">K326+K327+K328</f>
        <v>4122</v>
      </c>
      <c r="L325" s="283">
        <f t="shared" si="566"/>
        <v>3122</v>
      </c>
      <c r="M325" s="283">
        <f t="shared" ref="M325:P325" si="567">M326+M327+M328</f>
        <v>1222</v>
      </c>
      <c r="N325" s="283">
        <f t="shared" si="567"/>
        <v>629</v>
      </c>
      <c r="O325" s="283">
        <f t="shared" si="567"/>
        <v>629</v>
      </c>
      <c r="P325" s="283">
        <f t="shared" si="567"/>
        <v>642</v>
      </c>
      <c r="Q325" s="117">
        <f t="shared" si="511"/>
        <v>3122</v>
      </c>
      <c r="R325" s="117">
        <f t="shared" si="512"/>
        <v>0</v>
      </c>
      <c r="S325" s="283">
        <f t="shared" si="564"/>
        <v>490</v>
      </c>
      <c r="T325" s="283">
        <f t="shared" si="564"/>
        <v>0</v>
      </c>
      <c r="U325" s="283">
        <f t="shared" si="564"/>
        <v>0</v>
      </c>
    </row>
    <row r="326" spans="1:21" ht="18" customHeight="1">
      <c r="A326" s="34"/>
      <c r="B326" s="21" t="s">
        <v>477</v>
      </c>
      <c r="C326" s="12" t="s">
        <v>478</v>
      </c>
      <c r="D326" s="68">
        <v>0</v>
      </c>
      <c r="E326" s="197">
        <v>0</v>
      </c>
      <c r="F326" s="68">
        <v>401</v>
      </c>
      <c r="G326" s="68">
        <v>401</v>
      </c>
      <c r="H326" s="68">
        <v>401</v>
      </c>
      <c r="I326" s="197">
        <v>401</v>
      </c>
      <c r="J326" s="197">
        <v>401</v>
      </c>
      <c r="K326" s="197">
        <v>401</v>
      </c>
      <c r="L326" s="282">
        <v>336</v>
      </c>
      <c r="M326" s="282">
        <v>84</v>
      </c>
      <c r="N326" s="282">
        <v>84</v>
      </c>
      <c r="O326" s="282">
        <v>84</v>
      </c>
      <c r="P326" s="282">
        <v>84</v>
      </c>
      <c r="Q326" s="117">
        <f t="shared" si="511"/>
        <v>336</v>
      </c>
      <c r="R326" s="117">
        <f t="shared" si="512"/>
        <v>0</v>
      </c>
      <c r="S326" s="282">
        <v>65</v>
      </c>
      <c r="T326" s="282"/>
      <c r="U326" s="282"/>
    </row>
    <row r="327" spans="1:21" ht="19.5" customHeight="1">
      <c r="A327" s="34"/>
      <c r="B327" s="21" t="s">
        <v>479</v>
      </c>
      <c r="C327" s="12" t="s">
        <v>447</v>
      </c>
      <c r="D327" s="68">
        <v>0</v>
      </c>
      <c r="E327" s="197">
        <v>0</v>
      </c>
      <c r="F327" s="68">
        <v>2619</v>
      </c>
      <c r="G327" s="68">
        <v>2619</v>
      </c>
      <c r="H327" s="68">
        <v>2619</v>
      </c>
      <c r="I327" s="197">
        <v>2618</v>
      </c>
      <c r="J327" s="197">
        <v>2618</v>
      </c>
      <c r="K327" s="197">
        <v>2618</v>
      </c>
      <c r="L327" s="282">
        <v>2193</v>
      </c>
      <c r="M327" s="282">
        <v>545</v>
      </c>
      <c r="N327" s="282">
        <v>545</v>
      </c>
      <c r="O327" s="282">
        <v>545</v>
      </c>
      <c r="P327" s="282">
        <v>558</v>
      </c>
      <c r="Q327" s="117">
        <f t="shared" si="511"/>
        <v>2193</v>
      </c>
      <c r="R327" s="117">
        <f t="shared" si="512"/>
        <v>0</v>
      </c>
      <c r="S327" s="282">
        <v>425</v>
      </c>
      <c r="T327" s="282"/>
      <c r="U327" s="282"/>
    </row>
    <row r="328" spans="1:21" ht="20.25" customHeight="1">
      <c r="A328" s="34"/>
      <c r="B328" s="21" t="s">
        <v>480</v>
      </c>
      <c r="C328" s="12" t="s">
        <v>448</v>
      </c>
      <c r="D328" s="68">
        <v>0</v>
      </c>
      <c r="E328" s="197">
        <v>7.6</v>
      </c>
      <c r="F328" s="68">
        <v>1110</v>
      </c>
      <c r="G328" s="68">
        <v>1110</v>
      </c>
      <c r="H328" s="68">
        <v>1110</v>
      </c>
      <c r="I328" s="197">
        <v>1103</v>
      </c>
      <c r="J328" s="197">
        <f>1103-500</f>
        <v>603</v>
      </c>
      <c r="K328" s="197">
        <v>1103</v>
      </c>
      <c r="L328" s="282">
        <v>593</v>
      </c>
      <c r="M328" s="282">
        <v>593</v>
      </c>
      <c r="N328" s="282"/>
      <c r="O328" s="282"/>
      <c r="P328" s="282"/>
      <c r="Q328" s="117">
        <f t="shared" si="511"/>
        <v>593</v>
      </c>
      <c r="R328" s="117">
        <f t="shared" si="512"/>
        <v>0</v>
      </c>
      <c r="S328" s="282"/>
      <c r="T328" s="282"/>
      <c r="U328" s="282"/>
    </row>
    <row r="329" spans="1:21" ht="44.25" customHeight="1">
      <c r="A329" s="34"/>
      <c r="B329" s="49" t="s">
        <v>481</v>
      </c>
      <c r="C329" s="92"/>
      <c r="D329" s="77">
        <f t="shared" ref="D329:U330" si="568">D330</f>
        <v>0</v>
      </c>
      <c r="E329" s="77">
        <f t="shared" si="568"/>
        <v>0</v>
      </c>
      <c r="F329" s="77">
        <f t="shared" si="568"/>
        <v>700</v>
      </c>
      <c r="G329" s="77">
        <f t="shared" si="568"/>
        <v>700</v>
      </c>
      <c r="H329" s="77">
        <f t="shared" si="568"/>
        <v>700</v>
      </c>
      <c r="I329" s="77">
        <f t="shared" si="568"/>
        <v>1000</v>
      </c>
      <c r="J329" s="77">
        <f t="shared" si="568"/>
        <v>1000</v>
      </c>
      <c r="K329" s="77">
        <f t="shared" si="568"/>
        <v>1000</v>
      </c>
      <c r="L329" s="298">
        <f t="shared" si="568"/>
        <v>1000</v>
      </c>
      <c r="M329" s="298">
        <f t="shared" si="568"/>
        <v>266</v>
      </c>
      <c r="N329" s="298">
        <f t="shared" si="568"/>
        <v>246</v>
      </c>
      <c r="O329" s="298">
        <f t="shared" si="568"/>
        <v>246</v>
      </c>
      <c r="P329" s="298">
        <f t="shared" si="568"/>
        <v>242</v>
      </c>
      <c r="Q329" s="117">
        <f t="shared" si="511"/>
        <v>1000</v>
      </c>
      <c r="R329" s="117">
        <f t="shared" si="512"/>
        <v>0</v>
      </c>
      <c r="S329" s="298">
        <f t="shared" si="568"/>
        <v>8340</v>
      </c>
      <c r="T329" s="298">
        <f t="shared" si="568"/>
        <v>14992</v>
      </c>
      <c r="U329" s="298">
        <f t="shared" si="568"/>
        <v>9999</v>
      </c>
    </row>
    <row r="330" spans="1:21" ht="20.25" customHeight="1">
      <c r="A330" s="34"/>
      <c r="B330" s="33" t="s">
        <v>165</v>
      </c>
      <c r="C330" s="12"/>
      <c r="D330" s="69">
        <f t="shared" si="568"/>
        <v>0</v>
      </c>
      <c r="E330" s="69">
        <f t="shared" si="568"/>
        <v>0</v>
      </c>
      <c r="F330" s="69">
        <f t="shared" si="568"/>
        <v>700</v>
      </c>
      <c r="G330" s="69">
        <f t="shared" si="568"/>
        <v>700</v>
      </c>
      <c r="H330" s="69">
        <f t="shared" si="568"/>
        <v>700</v>
      </c>
      <c r="I330" s="69">
        <f t="shared" si="568"/>
        <v>1000</v>
      </c>
      <c r="J330" s="69">
        <f t="shared" si="568"/>
        <v>1000</v>
      </c>
      <c r="K330" s="69">
        <f t="shared" si="568"/>
        <v>1000</v>
      </c>
      <c r="L330" s="283">
        <f t="shared" si="568"/>
        <v>1000</v>
      </c>
      <c r="M330" s="283">
        <f t="shared" si="568"/>
        <v>266</v>
      </c>
      <c r="N330" s="283">
        <f t="shared" si="568"/>
        <v>246</v>
      </c>
      <c r="O330" s="283">
        <f t="shared" si="568"/>
        <v>246</v>
      </c>
      <c r="P330" s="283">
        <f t="shared" si="568"/>
        <v>242</v>
      </c>
      <c r="Q330" s="117">
        <f t="shared" si="511"/>
        <v>1000</v>
      </c>
      <c r="R330" s="117">
        <f t="shared" si="512"/>
        <v>0</v>
      </c>
      <c r="S330" s="283">
        <f t="shared" si="568"/>
        <v>8340</v>
      </c>
      <c r="T330" s="283">
        <f t="shared" si="568"/>
        <v>14992</v>
      </c>
      <c r="U330" s="283">
        <f t="shared" si="568"/>
        <v>9999</v>
      </c>
    </row>
    <row r="331" spans="1:21" ht="26.25" customHeight="1">
      <c r="A331" s="34"/>
      <c r="B331" s="32" t="s">
        <v>445</v>
      </c>
      <c r="C331" s="12">
        <v>58</v>
      </c>
      <c r="D331" s="69">
        <f t="shared" ref="D331:U331" si="569">D332+D333+D334</f>
        <v>0</v>
      </c>
      <c r="E331" s="69">
        <f t="shared" ref="E331:F331" si="570">E332+E333+E334</f>
        <v>0</v>
      </c>
      <c r="F331" s="69">
        <f t="shared" si="570"/>
        <v>700</v>
      </c>
      <c r="G331" s="69">
        <f t="shared" si="569"/>
        <v>700</v>
      </c>
      <c r="H331" s="69">
        <f t="shared" si="569"/>
        <v>700</v>
      </c>
      <c r="I331" s="69">
        <f t="shared" si="569"/>
        <v>1000</v>
      </c>
      <c r="J331" s="69">
        <f t="shared" si="569"/>
        <v>1000</v>
      </c>
      <c r="K331" s="69">
        <f t="shared" ref="K331:L331" si="571">K332+K333+K334</f>
        <v>1000</v>
      </c>
      <c r="L331" s="283">
        <f t="shared" si="571"/>
        <v>1000</v>
      </c>
      <c r="M331" s="283">
        <f t="shared" ref="M331:P331" si="572">M332+M333+M334</f>
        <v>266</v>
      </c>
      <c r="N331" s="283">
        <f t="shared" si="572"/>
        <v>246</v>
      </c>
      <c r="O331" s="283">
        <f t="shared" si="572"/>
        <v>246</v>
      </c>
      <c r="P331" s="283">
        <f t="shared" si="572"/>
        <v>242</v>
      </c>
      <c r="Q331" s="117">
        <f t="shared" si="511"/>
        <v>1000</v>
      </c>
      <c r="R331" s="117">
        <f t="shared" si="512"/>
        <v>0</v>
      </c>
      <c r="S331" s="283">
        <f t="shared" si="569"/>
        <v>8340</v>
      </c>
      <c r="T331" s="283">
        <f t="shared" si="569"/>
        <v>14992</v>
      </c>
      <c r="U331" s="283">
        <f t="shared" si="569"/>
        <v>9999</v>
      </c>
    </row>
    <row r="332" spans="1:21" ht="17.25" customHeight="1">
      <c r="A332" s="34"/>
      <c r="B332" s="21" t="s">
        <v>477</v>
      </c>
      <c r="C332" s="12" t="s">
        <v>478</v>
      </c>
      <c r="D332" s="68">
        <v>0</v>
      </c>
      <c r="E332" s="197">
        <v>0</v>
      </c>
      <c r="F332" s="68">
        <v>91</v>
      </c>
      <c r="G332" s="68">
        <v>91</v>
      </c>
      <c r="H332" s="68">
        <v>91</v>
      </c>
      <c r="I332" s="197">
        <v>130</v>
      </c>
      <c r="J332" s="197">
        <v>130</v>
      </c>
      <c r="K332" s="197">
        <v>130</v>
      </c>
      <c r="L332" s="282">
        <v>130</v>
      </c>
      <c r="M332" s="282">
        <v>33</v>
      </c>
      <c r="N332" s="282">
        <v>33</v>
      </c>
      <c r="O332" s="282">
        <v>33</v>
      </c>
      <c r="P332" s="282">
        <v>31</v>
      </c>
      <c r="Q332" s="117">
        <f t="shared" si="511"/>
        <v>130</v>
      </c>
      <c r="R332" s="117">
        <f t="shared" si="512"/>
        <v>0</v>
      </c>
      <c r="S332" s="282">
        <v>1106</v>
      </c>
      <c r="T332" s="282">
        <v>1949</v>
      </c>
      <c r="U332" s="282"/>
    </row>
    <row r="333" spans="1:21" ht="17.25" customHeight="1">
      <c r="A333" s="34"/>
      <c r="B333" s="21" t="s">
        <v>479</v>
      </c>
      <c r="C333" s="12" t="s">
        <v>447</v>
      </c>
      <c r="D333" s="68">
        <v>0</v>
      </c>
      <c r="E333" s="197">
        <v>0</v>
      </c>
      <c r="F333" s="68">
        <v>595</v>
      </c>
      <c r="G333" s="68">
        <v>595</v>
      </c>
      <c r="H333" s="68">
        <v>595</v>
      </c>
      <c r="I333" s="197">
        <v>850</v>
      </c>
      <c r="J333" s="197">
        <v>850</v>
      </c>
      <c r="K333" s="197">
        <v>850</v>
      </c>
      <c r="L333" s="282">
        <v>850</v>
      </c>
      <c r="M333" s="282">
        <v>213</v>
      </c>
      <c r="N333" s="282">
        <v>213</v>
      </c>
      <c r="O333" s="282">
        <v>213</v>
      </c>
      <c r="P333" s="282">
        <v>211</v>
      </c>
      <c r="Q333" s="117">
        <f t="shared" ref="Q333:Q396" si="573">M333+N333+O333+P333</f>
        <v>850</v>
      </c>
      <c r="R333" s="117">
        <f t="shared" ref="R333:R396" si="574">L333-Q333</f>
        <v>0</v>
      </c>
      <c r="S333" s="282">
        <v>7234</v>
      </c>
      <c r="T333" s="282">
        <v>12743</v>
      </c>
      <c r="U333" s="282"/>
    </row>
    <row r="334" spans="1:21" ht="17.25" customHeight="1">
      <c r="A334" s="34"/>
      <c r="B334" s="21" t="s">
        <v>480</v>
      </c>
      <c r="C334" s="12" t="s">
        <v>448</v>
      </c>
      <c r="D334" s="68">
        <v>0</v>
      </c>
      <c r="E334" s="197">
        <v>0</v>
      </c>
      <c r="F334" s="68">
        <v>14</v>
      </c>
      <c r="G334" s="68">
        <v>14</v>
      </c>
      <c r="H334" s="68">
        <v>14</v>
      </c>
      <c r="I334" s="197">
        <v>20</v>
      </c>
      <c r="J334" s="197">
        <v>20</v>
      </c>
      <c r="K334" s="197">
        <v>20</v>
      </c>
      <c r="L334" s="282">
        <v>20</v>
      </c>
      <c r="M334" s="282">
        <v>20</v>
      </c>
      <c r="N334" s="282"/>
      <c r="O334" s="282"/>
      <c r="P334" s="282"/>
      <c r="Q334" s="117">
        <f t="shared" si="573"/>
        <v>20</v>
      </c>
      <c r="R334" s="117">
        <f t="shared" si="574"/>
        <v>0</v>
      </c>
      <c r="S334" s="282"/>
      <c r="T334" s="282">
        <v>300</v>
      </c>
      <c r="U334" s="282">
        <v>9999</v>
      </c>
    </row>
    <row r="335" spans="1:21" ht="1.5" hidden="1" customHeight="1">
      <c r="A335" s="34"/>
      <c r="B335" s="49" t="s">
        <v>482</v>
      </c>
      <c r="C335" s="93"/>
      <c r="D335" s="122">
        <f t="shared" ref="D335:H336" si="575">D336</f>
        <v>534</v>
      </c>
      <c r="E335" s="197"/>
      <c r="F335" s="122">
        <f t="shared" si="575"/>
        <v>0</v>
      </c>
      <c r="G335" s="122">
        <f t="shared" si="575"/>
        <v>0</v>
      </c>
      <c r="H335" s="122">
        <f t="shared" si="575"/>
        <v>0</v>
      </c>
      <c r="I335" s="197"/>
      <c r="J335" s="197"/>
      <c r="K335" s="197"/>
      <c r="L335" s="282"/>
      <c r="M335" s="282"/>
      <c r="N335" s="282"/>
      <c r="O335" s="282"/>
      <c r="P335" s="282"/>
      <c r="Q335" s="117">
        <f t="shared" si="573"/>
        <v>0</v>
      </c>
      <c r="R335" s="117">
        <f t="shared" si="574"/>
        <v>0</v>
      </c>
      <c r="S335" s="282"/>
      <c r="T335" s="282"/>
      <c r="U335" s="282"/>
    </row>
    <row r="336" spans="1:21" ht="17.25" hidden="1" customHeight="1">
      <c r="A336" s="34"/>
      <c r="B336" s="33" t="s">
        <v>165</v>
      </c>
      <c r="C336" s="12"/>
      <c r="D336" s="73">
        <f t="shared" si="575"/>
        <v>534</v>
      </c>
      <c r="E336" s="197"/>
      <c r="F336" s="73">
        <f t="shared" si="575"/>
        <v>0</v>
      </c>
      <c r="G336" s="73">
        <f t="shared" si="575"/>
        <v>0</v>
      </c>
      <c r="H336" s="73">
        <f t="shared" si="575"/>
        <v>0</v>
      </c>
      <c r="I336" s="197"/>
      <c r="J336" s="197"/>
      <c r="K336" s="197"/>
      <c r="L336" s="282"/>
      <c r="M336" s="282"/>
      <c r="N336" s="282"/>
      <c r="O336" s="282"/>
      <c r="P336" s="282"/>
      <c r="Q336" s="117">
        <f t="shared" si="573"/>
        <v>0</v>
      </c>
      <c r="R336" s="117">
        <f t="shared" si="574"/>
        <v>0</v>
      </c>
      <c r="S336" s="282"/>
      <c r="T336" s="282"/>
      <c r="U336" s="282"/>
    </row>
    <row r="337" spans="1:21" ht="28.5" hidden="1" customHeight="1">
      <c r="A337" s="34"/>
      <c r="B337" s="32" t="s">
        <v>445</v>
      </c>
      <c r="C337" s="12">
        <v>58</v>
      </c>
      <c r="D337" s="73">
        <f t="shared" ref="D337:H337" si="576">D338+D339+D340</f>
        <v>534</v>
      </c>
      <c r="E337" s="197"/>
      <c r="F337" s="73">
        <f t="shared" ref="F337" si="577">F338+F339+F340</f>
        <v>0</v>
      </c>
      <c r="G337" s="73">
        <f t="shared" si="576"/>
        <v>0</v>
      </c>
      <c r="H337" s="73">
        <f t="shared" si="576"/>
        <v>0</v>
      </c>
      <c r="I337" s="197"/>
      <c r="J337" s="197"/>
      <c r="K337" s="197"/>
      <c r="L337" s="282"/>
      <c r="M337" s="282"/>
      <c r="N337" s="282"/>
      <c r="O337" s="282"/>
      <c r="P337" s="282"/>
      <c r="Q337" s="117">
        <f t="shared" si="573"/>
        <v>0</v>
      </c>
      <c r="R337" s="117">
        <f t="shared" si="574"/>
        <v>0</v>
      </c>
      <c r="S337" s="282"/>
      <c r="T337" s="282"/>
      <c r="U337" s="282"/>
    </row>
    <row r="338" spans="1:21" ht="17.25" hidden="1" customHeight="1">
      <c r="A338" s="34"/>
      <c r="B338" s="21" t="s">
        <v>477</v>
      </c>
      <c r="C338" s="12" t="s">
        <v>489</v>
      </c>
      <c r="D338" s="123">
        <v>69</v>
      </c>
      <c r="E338" s="197"/>
      <c r="F338" s="123"/>
      <c r="G338" s="123"/>
      <c r="H338" s="123"/>
      <c r="I338" s="197"/>
      <c r="J338" s="197"/>
      <c r="K338" s="197"/>
      <c r="L338" s="282"/>
      <c r="M338" s="282"/>
      <c r="N338" s="282"/>
      <c r="O338" s="282"/>
      <c r="P338" s="282"/>
      <c r="Q338" s="117">
        <f t="shared" si="573"/>
        <v>0</v>
      </c>
      <c r="R338" s="117">
        <f t="shared" si="574"/>
        <v>0</v>
      </c>
      <c r="S338" s="282"/>
      <c r="T338" s="282"/>
      <c r="U338" s="282"/>
    </row>
    <row r="339" spans="1:21" ht="17.25" hidden="1" customHeight="1">
      <c r="A339" s="34"/>
      <c r="B339" s="21" t="s">
        <v>479</v>
      </c>
      <c r="C339" s="12" t="s">
        <v>490</v>
      </c>
      <c r="D339" s="123">
        <v>454</v>
      </c>
      <c r="E339" s="197"/>
      <c r="F339" s="123"/>
      <c r="G339" s="123"/>
      <c r="H339" s="123"/>
      <c r="I339" s="197"/>
      <c r="J339" s="197"/>
      <c r="K339" s="197"/>
      <c r="L339" s="282"/>
      <c r="M339" s="282"/>
      <c r="N339" s="282"/>
      <c r="O339" s="282"/>
      <c r="P339" s="282"/>
      <c r="Q339" s="117">
        <f t="shared" si="573"/>
        <v>0</v>
      </c>
      <c r="R339" s="117">
        <f t="shared" si="574"/>
        <v>0</v>
      </c>
      <c r="S339" s="282"/>
      <c r="T339" s="282"/>
      <c r="U339" s="282"/>
    </row>
    <row r="340" spans="1:21" ht="17.25" hidden="1" customHeight="1">
      <c r="A340" s="34"/>
      <c r="B340" s="21" t="s">
        <v>480</v>
      </c>
      <c r="C340" s="12" t="s">
        <v>491</v>
      </c>
      <c r="D340" s="123">
        <v>11</v>
      </c>
      <c r="E340" s="197"/>
      <c r="F340" s="123"/>
      <c r="G340" s="123"/>
      <c r="H340" s="123"/>
      <c r="I340" s="197"/>
      <c r="J340" s="197"/>
      <c r="K340" s="197"/>
      <c r="L340" s="282"/>
      <c r="M340" s="282"/>
      <c r="N340" s="282"/>
      <c r="O340" s="282"/>
      <c r="P340" s="282"/>
      <c r="Q340" s="117">
        <f t="shared" si="573"/>
        <v>0</v>
      </c>
      <c r="R340" s="117">
        <f t="shared" si="574"/>
        <v>0</v>
      </c>
      <c r="S340" s="282"/>
      <c r="T340" s="282"/>
      <c r="U340" s="282"/>
    </row>
    <row r="341" spans="1:21" ht="59.25" hidden="1" customHeight="1">
      <c r="A341" s="34"/>
      <c r="B341" s="49" t="s">
        <v>505</v>
      </c>
      <c r="C341" s="93"/>
      <c r="D341" s="78">
        <f t="shared" ref="D341:H342" si="578">D342</f>
        <v>127</v>
      </c>
      <c r="E341" s="197"/>
      <c r="F341" s="78">
        <f t="shared" si="578"/>
        <v>0</v>
      </c>
      <c r="G341" s="78">
        <f t="shared" si="578"/>
        <v>0</v>
      </c>
      <c r="H341" s="78">
        <f t="shared" si="578"/>
        <v>0</v>
      </c>
      <c r="I341" s="197"/>
      <c r="J341" s="197"/>
      <c r="K341" s="197"/>
      <c r="L341" s="282"/>
      <c r="M341" s="282"/>
      <c r="N341" s="282"/>
      <c r="O341" s="282"/>
      <c r="P341" s="282"/>
      <c r="Q341" s="117">
        <f t="shared" si="573"/>
        <v>0</v>
      </c>
      <c r="R341" s="117">
        <f t="shared" si="574"/>
        <v>0</v>
      </c>
      <c r="S341" s="282"/>
      <c r="T341" s="282"/>
      <c r="U341" s="282"/>
    </row>
    <row r="342" spans="1:21" ht="23.25" hidden="1" customHeight="1">
      <c r="A342" s="34"/>
      <c r="B342" s="33" t="s">
        <v>165</v>
      </c>
      <c r="C342" s="128"/>
      <c r="D342" s="68">
        <f t="shared" si="578"/>
        <v>127</v>
      </c>
      <c r="E342" s="197"/>
      <c r="F342" s="68">
        <f t="shared" si="578"/>
        <v>0</v>
      </c>
      <c r="G342" s="68">
        <f t="shared" si="578"/>
        <v>0</v>
      </c>
      <c r="H342" s="68">
        <f t="shared" si="578"/>
        <v>0</v>
      </c>
      <c r="I342" s="197"/>
      <c r="J342" s="197"/>
      <c r="K342" s="197"/>
      <c r="L342" s="282"/>
      <c r="M342" s="282"/>
      <c r="N342" s="282"/>
      <c r="O342" s="282"/>
      <c r="P342" s="282"/>
      <c r="Q342" s="117">
        <f t="shared" si="573"/>
        <v>0</v>
      </c>
      <c r="R342" s="117">
        <f t="shared" si="574"/>
        <v>0</v>
      </c>
      <c r="S342" s="282"/>
      <c r="T342" s="282"/>
      <c r="U342" s="282"/>
    </row>
    <row r="343" spans="1:21" ht="3.75" hidden="1" customHeight="1">
      <c r="A343" s="34"/>
      <c r="B343" s="32" t="s">
        <v>445</v>
      </c>
      <c r="C343" s="12">
        <v>58</v>
      </c>
      <c r="D343" s="66">
        <f t="shared" ref="D343:H343" si="579">D344+D345+D346</f>
        <v>127</v>
      </c>
      <c r="E343" s="197"/>
      <c r="F343" s="66">
        <f t="shared" ref="F343" si="580">F344+F345+F346</f>
        <v>0</v>
      </c>
      <c r="G343" s="66">
        <f t="shared" si="579"/>
        <v>0</v>
      </c>
      <c r="H343" s="66">
        <f t="shared" si="579"/>
        <v>0</v>
      </c>
      <c r="I343" s="197"/>
      <c r="J343" s="197"/>
      <c r="K343" s="197"/>
      <c r="L343" s="282"/>
      <c r="M343" s="282"/>
      <c r="N343" s="282"/>
      <c r="O343" s="282"/>
      <c r="P343" s="282"/>
      <c r="Q343" s="117">
        <f t="shared" si="573"/>
        <v>0</v>
      </c>
      <c r="R343" s="117">
        <f t="shared" si="574"/>
        <v>0</v>
      </c>
      <c r="S343" s="282"/>
      <c r="T343" s="282"/>
      <c r="U343" s="282"/>
    </row>
    <row r="344" spans="1:21" ht="17.25" hidden="1" customHeight="1">
      <c r="A344" s="34"/>
      <c r="B344" s="21" t="s">
        <v>477</v>
      </c>
      <c r="C344" s="12" t="s">
        <v>478</v>
      </c>
      <c r="D344" s="123">
        <v>35</v>
      </c>
      <c r="E344" s="197"/>
      <c r="F344" s="123"/>
      <c r="G344" s="123"/>
      <c r="H344" s="123"/>
      <c r="I344" s="197"/>
      <c r="J344" s="197"/>
      <c r="K344" s="197"/>
      <c r="L344" s="282"/>
      <c r="M344" s="282"/>
      <c r="N344" s="282"/>
      <c r="O344" s="282"/>
      <c r="P344" s="282"/>
      <c r="Q344" s="117">
        <f t="shared" si="573"/>
        <v>0</v>
      </c>
      <c r="R344" s="117">
        <f t="shared" si="574"/>
        <v>0</v>
      </c>
      <c r="S344" s="282"/>
      <c r="T344" s="282"/>
      <c r="U344" s="282"/>
    </row>
    <row r="345" spans="1:21" ht="17.25" hidden="1" customHeight="1">
      <c r="A345" s="34"/>
      <c r="B345" s="21" t="s">
        <v>479</v>
      </c>
      <c r="C345" s="12" t="s">
        <v>447</v>
      </c>
      <c r="D345" s="123">
        <v>89</v>
      </c>
      <c r="E345" s="197"/>
      <c r="F345" s="123"/>
      <c r="G345" s="123"/>
      <c r="H345" s="123"/>
      <c r="I345" s="197"/>
      <c r="J345" s="197"/>
      <c r="K345" s="197"/>
      <c r="L345" s="282"/>
      <c r="M345" s="282"/>
      <c r="N345" s="282"/>
      <c r="O345" s="282"/>
      <c r="P345" s="282"/>
      <c r="Q345" s="117">
        <f t="shared" si="573"/>
        <v>0</v>
      </c>
      <c r="R345" s="117">
        <f t="shared" si="574"/>
        <v>0</v>
      </c>
      <c r="S345" s="282"/>
      <c r="T345" s="282"/>
      <c r="U345" s="282"/>
    </row>
    <row r="346" spans="1:21" ht="17.25" hidden="1" customHeight="1">
      <c r="A346" s="34"/>
      <c r="B346" s="21" t="s">
        <v>480</v>
      </c>
      <c r="C346" s="12" t="s">
        <v>448</v>
      </c>
      <c r="D346" s="123">
        <v>3</v>
      </c>
      <c r="E346" s="197"/>
      <c r="F346" s="123"/>
      <c r="G346" s="123"/>
      <c r="H346" s="123"/>
      <c r="I346" s="197"/>
      <c r="J346" s="197"/>
      <c r="K346" s="197"/>
      <c r="L346" s="282"/>
      <c r="M346" s="282"/>
      <c r="N346" s="282"/>
      <c r="O346" s="282"/>
      <c r="P346" s="282"/>
      <c r="Q346" s="117">
        <f t="shared" si="573"/>
        <v>0</v>
      </c>
      <c r="R346" s="117">
        <f t="shared" si="574"/>
        <v>0</v>
      </c>
      <c r="S346" s="282"/>
      <c r="T346" s="282"/>
      <c r="U346" s="282"/>
    </row>
    <row r="347" spans="1:21" ht="44.25" hidden="1" customHeight="1">
      <c r="A347" s="34"/>
      <c r="B347" s="49" t="s">
        <v>504</v>
      </c>
      <c r="C347" s="93"/>
      <c r="D347" s="78">
        <f t="shared" ref="D347:H348" si="581">D348</f>
        <v>104</v>
      </c>
      <c r="E347" s="197"/>
      <c r="F347" s="78">
        <f t="shared" si="581"/>
        <v>0</v>
      </c>
      <c r="G347" s="78">
        <f t="shared" si="581"/>
        <v>0</v>
      </c>
      <c r="H347" s="78">
        <f t="shared" si="581"/>
        <v>0</v>
      </c>
      <c r="I347" s="197"/>
      <c r="J347" s="197"/>
      <c r="K347" s="197"/>
      <c r="L347" s="282"/>
      <c r="M347" s="282"/>
      <c r="N347" s="282"/>
      <c r="O347" s="282"/>
      <c r="P347" s="282"/>
      <c r="Q347" s="117">
        <f t="shared" si="573"/>
        <v>0</v>
      </c>
      <c r="R347" s="117">
        <f t="shared" si="574"/>
        <v>0</v>
      </c>
      <c r="S347" s="282"/>
      <c r="T347" s="282"/>
      <c r="U347" s="282"/>
    </row>
    <row r="348" spans="1:21" ht="24.75" hidden="1" customHeight="1">
      <c r="A348" s="129"/>
      <c r="B348" s="33" t="s">
        <v>165</v>
      </c>
      <c r="C348" s="128"/>
      <c r="D348" s="68">
        <f t="shared" si="581"/>
        <v>104</v>
      </c>
      <c r="E348" s="197"/>
      <c r="F348" s="68">
        <f t="shared" si="581"/>
        <v>0</v>
      </c>
      <c r="G348" s="68">
        <f t="shared" si="581"/>
        <v>0</v>
      </c>
      <c r="H348" s="68">
        <f t="shared" si="581"/>
        <v>0</v>
      </c>
      <c r="I348" s="197"/>
      <c r="J348" s="197"/>
      <c r="K348" s="197"/>
      <c r="L348" s="282"/>
      <c r="M348" s="282"/>
      <c r="N348" s="282"/>
      <c r="O348" s="282"/>
      <c r="P348" s="282"/>
      <c r="Q348" s="117">
        <f t="shared" si="573"/>
        <v>0</v>
      </c>
      <c r="R348" s="117">
        <f t="shared" si="574"/>
        <v>0</v>
      </c>
      <c r="S348" s="282"/>
      <c r="T348" s="282"/>
      <c r="U348" s="282"/>
    </row>
    <row r="349" spans="1:21" ht="28.5" hidden="1" customHeight="1">
      <c r="A349" s="34"/>
      <c r="B349" s="32" t="s">
        <v>445</v>
      </c>
      <c r="C349" s="12">
        <v>58</v>
      </c>
      <c r="D349" s="66">
        <f t="shared" ref="D349:H349" si="582">D350+D351+D352</f>
        <v>104</v>
      </c>
      <c r="E349" s="197"/>
      <c r="F349" s="66">
        <f t="shared" ref="F349" si="583">F350+F351+F352</f>
        <v>0</v>
      </c>
      <c r="G349" s="66">
        <f t="shared" si="582"/>
        <v>0</v>
      </c>
      <c r="H349" s="66">
        <f t="shared" si="582"/>
        <v>0</v>
      </c>
      <c r="I349" s="197"/>
      <c r="J349" s="197"/>
      <c r="K349" s="197"/>
      <c r="L349" s="282"/>
      <c r="M349" s="282"/>
      <c r="N349" s="282"/>
      <c r="O349" s="282"/>
      <c r="P349" s="282"/>
      <c r="Q349" s="117">
        <f t="shared" si="573"/>
        <v>0</v>
      </c>
      <c r="R349" s="117">
        <f t="shared" si="574"/>
        <v>0</v>
      </c>
      <c r="S349" s="282"/>
      <c r="T349" s="282"/>
      <c r="U349" s="282"/>
    </row>
    <row r="350" spans="1:21" ht="17.25" hidden="1" customHeight="1">
      <c r="A350" s="34"/>
      <c r="B350" s="21" t="s">
        <v>477</v>
      </c>
      <c r="C350" s="12" t="s">
        <v>478</v>
      </c>
      <c r="D350" s="123">
        <v>29</v>
      </c>
      <c r="E350" s="197"/>
      <c r="F350" s="123"/>
      <c r="G350" s="123"/>
      <c r="H350" s="123"/>
      <c r="I350" s="197"/>
      <c r="J350" s="197"/>
      <c r="K350" s="197"/>
      <c r="L350" s="282"/>
      <c r="M350" s="282"/>
      <c r="N350" s="282"/>
      <c r="O350" s="282"/>
      <c r="P350" s="282"/>
      <c r="Q350" s="117">
        <f t="shared" si="573"/>
        <v>0</v>
      </c>
      <c r="R350" s="117">
        <f t="shared" si="574"/>
        <v>0</v>
      </c>
      <c r="S350" s="282"/>
      <c r="T350" s="282"/>
      <c r="U350" s="282"/>
    </row>
    <row r="351" spans="1:21" ht="17.25" hidden="1" customHeight="1">
      <c r="A351" s="34"/>
      <c r="B351" s="21" t="s">
        <v>479</v>
      </c>
      <c r="C351" s="12" t="s">
        <v>447</v>
      </c>
      <c r="D351" s="123">
        <v>73</v>
      </c>
      <c r="E351" s="197"/>
      <c r="F351" s="123"/>
      <c r="G351" s="123"/>
      <c r="H351" s="123"/>
      <c r="I351" s="197"/>
      <c r="J351" s="197"/>
      <c r="K351" s="197"/>
      <c r="L351" s="282"/>
      <c r="M351" s="282"/>
      <c r="N351" s="282"/>
      <c r="O351" s="282"/>
      <c r="P351" s="282"/>
      <c r="Q351" s="117">
        <f t="shared" si="573"/>
        <v>0</v>
      </c>
      <c r="R351" s="117">
        <f t="shared" si="574"/>
        <v>0</v>
      </c>
      <c r="S351" s="282"/>
      <c r="T351" s="282"/>
      <c r="U351" s="282"/>
    </row>
    <row r="352" spans="1:21" ht="17.25" hidden="1" customHeight="1">
      <c r="A352" s="34"/>
      <c r="B352" s="21" t="s">
        <v>480</v>
      </c>
      <c r="C352" s="12" t="s">
        <v>448</v>
      </c>
      <c r="D352" s="123">
        <v>2</v>
      </c>
      <c r="E352" s="197"/>
      <c r="F352" s="123"/>
      <c r="G352" s="123"/>
      <c r="H352" s="123"/>
      <c r="I352" s="197"/>
      <c r="J352" s="197"/>
      <c r="K352" s="197"/>
      <c r="L352" s="282"/>
      <c r="M352" s="282"/>
      <c r="N352" s="282"/>
      <c r="O352" s="282"/>
      <c r="P352" s="282"/>
      <c r="Q352" s="117">
        <f t="shared" si="573"/>
        <v>0</v>
      </c>
      <c r="R352" s="117">
        <f t="shared" si="574"/>
        <v>0</v>
      </c>
      <c r="S352" s="282"/>
      <c r="T352" s="282"/>
      <c r="U352" s="282"/>
    </row>
    <row r="353" spans="1:21" ht="34.5" customHeight="1">
      <c r="A353" s="34"/>
      <c r="B353" s="134" t="s">
        <v>515</v>
      </c>
      <c r="C353" s="112"/>
      <c r="D353" s="113">
        <f t="shared" ref="D353:U354" si="584">D354</f>
        <v>2.9000000000000004</v>
      </c>
      <c r="E353" s="113">
        <f t="shared" si="584"/>
        <v>8.2999999999999989</v>
      </c>
      <c r="F353" s="113">
        <f t="shared" si="584"/>
        <v>2000</v>
      </c>
      <c r="G353" s="113">
        <f t="shared" si="584"/>
        <v>2000</v>
      </c>
      <c r="H353" s="113">
        <f t="shared" si="584"/>
        <v>2000</v>
      </c>
      <c r="I353" s="113">
        <f t="shared" si="584"/>
        <v>1000</v>
      </c>
      <c r="J353" s="113">
        <f t="shared" si="584"/>
        <v>1000</v>
      </c>
      <c r="K353" s="113">
        <f t="shared" si="584"/>
        <v>1000</v>
      </c>
      <c r="L353" s="296">
        <f t="shared" si="584"/>
        <v>1000</v>
      </c>
      <c r="M353" s="296">
        <f t="shared" si="584"/>
        <v>269</v>
      </c>
      <c r="N353" s="296">
        <f t="shared" si="584"/>
        <v>245</v>
      </c>
      <c r="O353" s="296">
        <f t="shared" si="584"/>
        <v>245</v>
      </c>
      <c r="P353" s="296">
        <f t="shared" si="584"/>
        <v>241</v>
      </c>
      <c r="Q353" s="117">
        <f t="shared" si="573"/>
        <v>1000</v>
      </c>
      <c r="R353" s="117">
        <f t="shared" si="574"/>
        <v>0</v>
      </c>
      <c r="S353" s="296">
        <f t="shared" si="584"/>
        <v>2331</v>
      </c>
      <c r="T353" s="296">
        <f t="shared" si="584"/>
        <v>0</v>
      </c>
      <c r="U353" s="296">
        <f t="shared" si="584"/>
        <v>0</v>
      </c>
    </row>
    <row r="354" spans="1:21" ht="17.25" customHeight="1">
      <c r="A354" s="34"/>
      <c r="B354" s="33" t="s">
        <v>165</v>
      </c>
      <c r="C354" s="12"/>
      <c r="D354" s="66">
        <f t="shared" si="584"/>
        <v>2.9000000000000004</v>
      </c>
      <c r="E354" s="66">
        <f t="shared" si="584"/>
        <v>8.2999999999999989</v>
      </c>
      <c r="F354" s="66">
        <f t="shared" si="584"/>
        <v>2000</v>
      </c>
      <c r="G354" s="66">
        <f t="shared" si="584"/>
        <v>2000</v>
      </c>
      <c r="H354" s="66">
        <f t="shared" si="584"/>
        <v>2000</v>
      </c>
      <c r="I354" s="66">
        <f t="shared" si="584"/>
        <v>1000</v>
      </c>
      <c r="J354" s="66">
        <f t="shared" si="584"/>
        <v>1000</v>
      </c>
      <c r="K354" s="66">
        <f t="shared" si="584"/>
        <v>1000</v>
      </c>
      <c r="L354" s="288">
        <f t="shared" si="584"/>
        <v>1000</v>
      </c>
      <c r="M354" s="288">
        <f t="shared" si="584"/>
        <v>269</v>
      </c>
      <c r="N354" s="288">
        <f t="shared" si="584"/>
        <v>245</v>
      </c>
      <c r="O354" s="288">
        <f t="shared" si="584"/>
        <v>245</v>
      </c>
      <c r="P354" s="288">
        <f t="shared" si="584"/>
        <v>241</v>
      </c>
      <c r="Q354" s="117">
        <f t="shared" si="573"/>
        <v>1000</v>
      </c>
      <c r="R354" s="117">
        <f t="shared" si="574"/>
        <v>0</v>
      </c>
      <c r="S354" s="288">
        <f t="shared" si="584"/>
        <v>2331</v>
      </c>
      <c r="T354" s="288">
        <f t="shared" si="584"/>
        <v>0</v>
      </c>
      <c r="U354" s="288">
        <f t="shared" si="584"/>
        <v>0</v>
      </c>
    </row>
    <row r="355" spans="1:21" ht="28.5" customHeight="1">
      <c r="A355" s="34"/>
      <c r="B355" s="32" t="s">
        <v>445</v>
      </c>
      <c r="C355" s="12">
        <v>58</v>
      </c>
      <c r="D355" s="66">
        <f t="shared" ref="D355:U355" si="585">D356+D357+D358</f>
        <v>2.9000000000000004</v>
      </c>
      <c r="E355" s="66">
        <f t="shared" ref="E355:F355" si="586">E356+E357+E358</f>
        <v>8.2999999999999989</v>
      </c>
      <c r="F355" s="66">
        <f t="shared" si="586"/>
        <v>2000</v>
      </c>
      <c r="G355" s="66">
        <f t="shared" si="585"/>
        <v>2000</v>
      </c>
      <c r="H355" s="66">
        <f t="shared" si="585"/>
        <v>2000</v>
      </c>
      <c r="I355" s="66">
        <f t="shared" si="585"/>
        <v>1000</v>
      </c>
      <c r="J355" s="66">
        <f t="shared" si="585"/>
        <v>1000</v>
      </c>
      <c r="K355" s="66">
        <f t="shared" ref="K355:L355" si="587">K356+K357+K358</f>
        <v>1000</v>
      </c>
      <c r="L355" s="288">
        <f t="shared" si="587"/>
        <v>1000</v>
      </c>
      <c r="M355" s="288">
        <f t="shared" ref="M355:P355" si="588">M356+M357+M358</f>
        <v>269</v>
      </c>
      <c r="N355" s="288">
        <f t="shared" si="588"/>
        <v>245</v>
      </c>
      <c r="O355" s="288">
        <f t="shared" si="588"/>
        <v>245</v>
      </c>
      <c r="P355" s="288">
        <f t="shared" si="588"/>
        <v>241</v>
      </c>
      <c r="Q355" s="117">
        <f t="shared" si="573"/>
        <v>1000</v>
      </c>
      <c r="R355" s="117">
        <f t="shared" si="574"/>
        <v>0</v>
      </c>
      <c r="S355" s="288">
        <f t="shared" si="585"/>
        <v>2331</v>
      </c>
      <c r="T355" s="288">
        <f t="shared" si="585"/>
        <v>0</v>
      </c>
      <c r="U355" s="288">
        <f t="shared" si="585"/>
        <v>0</v>
      </c>
    </row>
    <row r="356" spans="1:21" ht="17.25" customHeight="1">
      <c r="A356" s="34"/>
      <c r="B356" s="21" t="s">
        <v>477</v>
      </c>
      <c r="C356" s="12" t="s">
        <v>478</v>
      </c>
      <c r="D356" s="68">
        <v>0.8</v>
      </c>
      <c r="E356" s="197">
        <v>2.2999999999999998</v>
      </c>
      <c r="F356" s="68">
        <v>559</v>
      </c>
      <c r="G356" s="68">
        <v>559</v>
      </c>
      <c r="H356" s="68">
        <v>559</v>
      </c>
      <c r="I356" s="197">
        <v>279</v>
      </c>
      <c r="J356" s="197">
        <v>279</v>
      </c>
      <c r="K356" s="197">
        <v>279</v>
      </c>
      <c r="L356" s="282">
        <v>279</v>
      </c>
      <c r="M356" s="282">
        <v>70</v>
      </c>
      <c r="N356" s="282">
        <v>70</v>
      </c>
      <c r="O356" s="282">
        <v>70</v>
      </c>
      <c r="P356" s="282">
        <v>69</v>
      </c>
      <c r="Q356" s="117">
        <f t="shared" si="573"/>
        <v>279</v>
      </c>
      <c r="R356" s="117">
        <f t="shared" si="574"/>
        <v>0</v>
      </c>
      <c r="S356" s="282">
        <v>666</v>
      </c>
      <c r="T356" s="282"/>
      <c r="U356" s="282"/>
    </row>
    <row r="357" spans="1:21" ht="17.25" customHeight="1">
      <c r="A357" s="34"/>
      <c r="B357" s="21" t="s">
        <v>479</v>
      </c>
      <c r="C357" s="12" t="s">
        <v>447</v>
      </c>
      <c r="D357" s="68">
        <v>2.1</v>
      </c>
      <c r="E357" s="197">
        <v>5.8</v>
      </c>
      <c r="F357" s="68">
        <v>1397</v>
      </c>
      <c r="G357" s="68">
        <v>1397</v>
      </c>
      <c r="H357" s="68">
        <v>1397</v>
      </c>
      <c r="I357" s="197">
        <v>697</v>
      </c>
      <c r="J357" s="197">
        <v>697</v>
      </c>
      <c r="K357" s="197">
        <v>697</v>
      </c>
      <c r="L357" s="282">
        <v>697</v>
      </c>
      <c r="M357" s="282">
        <v>175</v>
      </c>
      <c r="N357" s="282">
        <v>175</v>
      </c>
      <c r="O357" s="282">
        <v>175</v>
      </c>
      <c r="P357" s="282">
        <v>172</v>
      </c>
      <c r="Q357" s="117">
        <f t="shared" si="573"/>
        <v>697</v>
      </c>
      <c r="R357" s="117">
        <f t="shared" si="574"/>
        <v>0</v>
      </c>
      <c r="S357" s="282">
        <v>1665</v>
      </c>
      <c r="T357" s="282"/>
      <c r="U357" s="282"/>
    </row>
    <row r="358" spans="1:21" ht="17.25" customHeight="1">
      <c r="A358" s="34"/>
      <c r="B358" s="21" t="s">
        <v>480</v>
      </c>
      <c r="C358" s="12" t="s">
        <v>448</v>
      </c>
      <c r="D358" s="68"/>
      <c r="E358" s="197">
        <v>0.2</v>
      </c>
      <c r="F358" s="68">
        <v>44</v>
      </c>
      <c r="G358" s="68">
        <v>44</v>
      </c>
      <c r="H358" s="68">
        <v>44</v>
      </c>
      <c r="I358" s="197">
        <v>24</v>
      </c>
      <c r="J358" s="197">
        <v>24</v>
      </c>
      <c r="K358" s="197">
        <v>24</v>
      </c>
      <c r="L358" s="282">
        <v>24</v>
      </c>
      <c r="M358" s="282">
        <v>24</v>
      </c>
      <c r="N358" s="282"/>
      <c r="O358" s="282"/>
      <c r="P358" s="282"/>
      <c r="Q358" s="117">
        <f t="shared" si="573"/>
        <v>24</v>
      </c>
      <c r="R358" s="117">
        <f t="shared" si="574"/>
        <v>0</v>
      </c>
      <c r="S358" s="282"/>
      <c r="T358" s="282"/>
      <c r="U358" s="282"/>
    </row>
    <row r="359" spans="1:21" ht="40.5" customHeight="1">
      <c r="A359" s="34"/>
      <c r="B359" s="134" t="s">
        <v>539</v>
      </c>
      <c r="C359" s="112"/>
      <c r="D359" s="78">
        <f t="shared" ref="D359:U360" si="589">D360</f>
        <v>1.7</v>
      </c>
      <c r="E359" s="78">
        <f t="shared" si="589"/>
        <v>0</v>
      </c>
      <c r="F359" s="78">
        <f t="shared" si="589"/>
        <v>233</v>
      </c>
      <c r="G359" s="78">
        <f t="shared" si="589"/>
        <v>233</v>
      </c>
      <c r="H359" s="78">
        <f t="shared" si="589"/>
        <v>233</v>
      </c>
      <c r="I359" s="78">
        <f t="shared" si="589"/>
        <v>250</v>
      </c>
      <c r="J359" s="78">
        <f t="shared" si="589"/>
        <v>250</v>
      </c>
      <c r="K359" s="78">
        <f t="shared" si="589"/>
        <v>250</v>
      </c>
      <c r="L359" s="297">
        <f t="shared" si="589"/>
        <v>250</v>
      </c>
      <c r="M359" s="297">
        <f t="shared" si="589"/>
        <v>67</v>
      </c>
      <c r="N359" s="297">
        <f t="shared" si="589"/>
        <v>62</v>
      </c>
      <c r="O359" s="297">
        <f t="shared" si="589"/>
        <v>62</v>
      </c>
      <c r="P359" s="297">
        <f t="shared" si="589"/>
        <v>59</v>
      </c>
      <c r="Q359" s="117">
        <f t="shared" si="573"/>
        <v>250</v>
      </c>
      <c r="R359" s="117">
        <f t="shared" si="574"/>
        <v>0</v>
      </c>
      <c r="S359" s="297">
        <f t="shared" si="589"/>
        <v>5674</v>
      </c>
      <c r="T359" s="297">
        <f t="shared" si="589"/>
        <v>2652</v>
      </c>
      <c r="U359" s="297">
        <f t="shared" si="589"/>
        <v>4326</v>
      </c>
    </row>
    <row r="360" spans="1:21" ht="17.25" customHeight="1">
      <c r="A360" s="34"/>
      <c r="B360" s="33" t="s">
        <v>165</v>
      </c>
      <c r="C360" s="12"/>
      <c r="D360" s="68">
        <f t="shared" si="589"/>
        <v>1.7</v>
      </c>
      <c r="E360" s="68">
        <f t="shared" si="589"/>
        <v>0</v>
      </c>
      <c r="F360" s="68">
        <f t="shared" si="589"/>
        <v>233</v>
      </c>
      <c r="G360" s="68">
        <f t="shared" si="589"/>
        <v>233</v>
      </c>
      <c r="H360" s="68">
        <f t="shared" si="589"/>
        <v>233</v>
      </c>
      <c r="I360" s="68">
        <f t="shared" si="589"/>
        <v>250</v>
      </c>
      <c r="J360" s="68">
        <f t="shared" si="589"/>
        <v>250</v>
      </c>
      <c r="K360" s="68">
        <f t="shared" si="589"/>
        <v>250</v>
      </c>
      <c r="L360" s="176">
        <f t="shared" si="589"/>
        <v>250</v>
      </c>
      <c r="M360" s="176">
        <f t="shared" si="589"/>
        <v>67</v>
      </c>
      <c r="N360" s="176">
        <f t="shared" si="589"/>
        <v>62</v>
      </c>
      <c r="O360" s="176">
        <f t="shared" si="589"/>
        <v>62</v>
      </c>
      <c r="P360" s="176">
        <f t="shared" si="589"/>
        <v>59</v>
      </c>
      <c r="Q360" s="117">
        <f t="shared" si="573"/>
        <v>250</v>
      </c>
      <c r="R360" s="117">
        <f t="shared" si="574"/>
        <v>0</v>
      </c>
      <c r="S360" s="176">
        <f t="shared" si="589"/>
        <v>5674</v>
      </c>
      <c r="T360" s="176">
        <f t="shared" si="589"/>
        <v>2652</v>
      </c>
      <c r="U360" s="176">
        <f t="shared" si="589"/>
        <v>4326</v>
      </c>
    </row>
    <row r="361" spans="1:21" ht="17.25" customHeight="1">
      <c r="A361" s="34"/>
      <c r="B361" s="32" t="s">
        <v>445</v>
      </c>
      <c r="C361" s="12">
        <v>58</v>
      </c>
      <c r="D361" s="68">
        <f t="shared" ref="D361:U361" si="590">D362+D363+D364</f>
        <v>1.7</v>
      </c>
      <c r="E361" s="68">
        <f t="shared" ref="E361:F361" si="591">E362+E363+E364</f>
        <v>0</v>
      </c>
      <c r="F361" s="68">
        <f t="shared" si="591"/>
        <v>233</v>
      </c>
      <c r="G361" s="68">
        <f t="shared" si="590"/>
        <v>233</v>
      </c>
      <c r="H361" s="68">
        <f t="shared" si="590"/>
        <v>233</v>
      </c>
      <c r="I361" s="68">
        <f t="shared" si="590"/>
        <v>250</v>
      </c>
      <c r="J361" s="68">
        <f t="shared" si="590"/>
        <v>250</v>
      </c>
      <c r="K361" s="68">
        <f t="shared" ref="K361:L361" si="592">K362+K363+K364</f>
        <v>250</v>
      </c>
      <c r="L361" s="176">
        <f t="shared" si="592"/>
        <v>250</v>
      </c>
      <c r="M361" s="176">
        <f t="shared" ref="M361:P361" si="593">M362+M363+M364</f>
        <v>67</v>
      </c>
      <c r="N361" s="176">
        <f t="shared" si="593"/>
        <v>62</v>
      </c>
      <c r="O361" s="176">
        <f t="shared" si="593"/>
        <v>62</v>
      </c>
      <c r="P361" s="176">
        <f t="shared" si="593"/>
        <v>59</v>
      </c>
      <c r="Q361" s="117">
        <f t="shared" si="573"/>
        <v>250</v>
      </c>
      <c r="R361" s="117">
        <f t="shared" si="574"/>
        <v>0</v>
      </c>
      <c r="S361" s="176">
        <f t="shared" si="590"/>
        <v>5674</v>
      </c>
      <c r="T361" s="176">
        <f t="shared" si="590"/>
        <v>2652</v>
      </c>
      <c r="U361" s="176">
        <f t="shared" si="590"/>
        <v>4326</v>
      </c>
    </row>
    <row r="362" spans="1:21" ht="17.25" customHeight="1">
      <c r="A362" s="34"/>
      <c r="B362" s="21" t="s">
        <v>477</v>
      </c>
      <c r="C362" s="12" t="s">
        <v>478</v>
      </c>
      <c r="D362" s="68">
        <v>0.5</v>
      </c>
      <c r="E362" s="197">
        <v>0</v>
      </c>
      <c r="F362" s="68">
        <v>65</v>
      </c>
      <c r="G362" s="68">
        <v>65</v>
      </c>
      <c r="H362" s="68">
        <v>65</v>
      </c>
      <c r="I362" s="197">
        <v>70</v>
      </c>
      <c r="J362" s="197">
        <v>70</v>
      </c>
      <c r="K362" s="197">
        <v>70</v>
      </c>
      <c r="L362" s="282">
        <v>70</v>
      </c>
      <c r="M362" s="282">
        <v>18</v>
      </c>
      <c r="N362" s="282">
        <v>18</v>
      </c>
      <c r="O362" s="282">
        <v>18</v>
      </c>
      <c r="P362" s="282">
        <v>16</v>
      </c>
      <c r="Q362" s="117">
        <f t="shared" si="573"/>
        <v>70</v>
      </c>
      <c r="R362" s="117">
        <f t="shared" si="574"/>
        <v>0</v>
      </c>
      <c r="S362" s="282">
        <v>1621</v>
      </c>
      <c r="T362" s="282">
        <v>206</v>
      </c>
      <c r="U362" s="282"/>
    </row>
    <row r="363" spans="1:21" ht="17.25" customHeight="1">
      <c r="A363" s="34"/>
      <c r="B363" s="21" t="s">
        <v>479</v>
      </c>
      <c r="C363" s="12" t="s">
        <v>447</v>
      </c>
      <c r="D363" s="68">
        <v>1.2</v>
      </c>
      <c r="E363" s="197">
        <v>0</v>
      </c>
      <c r="F363" s="68">
        <v>163</v>
      </c>
      <c r="G363" s="68">
        <v>163</v>
      </c>
      <c r="H363" s="68">
        <v>163</v>
      </c>
      <c r="I363" s="197">
        <v>175</v>
      </c>
      <c r="J363" s="197">
        <v>175</v>
      </c>
      <c r="K363" s="197">
        <v>175</v>
      </c>
      <c r="L363" s="282">
        <v>175</v>
      </c>
      <c r="M363" s="282">
        <v>44</v>
      </c>
      <c r="N363" s="282">
        <v>44</v>
      </c>
      <c r="O363" s="282">
        <v>44</v>
      </c>
      <c r="P363" s="282">
        <v>43</v>
      </c>
      <c r="Q363" s="117">
        <f t="shared" si="573"/>
        <v>175</v>
      </c>
      <c r="R363" s="117">
        <f t="shared" si="574"/>
        <v>0</v>
      </c>
      <c r="S363" s="282">
        <v>4053</v>
      </c>
      <c r="T363" s="282">
        <v>515</v>
      </c>
      <c r="U363" s="282"/>
    </row>
    <row r="364" spans="1:21" ht="17.25" customHeight="1">
      <c r="A364" s="34"/>
      <c r="B364" s="21" t="s">
        <v>480</v>
      </c>
      <c r="C364" s="12" t="s">
        <v>448</v>
      </c>
      <c r="D364" s="68"/>
      <c r="E364" s="197">
        <v>0</v>
      </c>
      <c r="F364" s="68">
        <v>5</v>
      </c>
      <c r="G364" s="68">
        <v>5</v>
      </c>
      <c r="H364" s="68">
        <v>5</v>
      </c>
      <c r="I364" s="197">
        <v>5</v>
      </c>
      <c r="J364" s="197">
        <v>5</v>
      </c>
      <c r="K364" s="197">
        <v>5</v>
      </c>
      <c r="L364" s="282">
        <v>5</v>
      </c>
      <c r="M364" s="282">
        <v>5</v>
      </c>
      <c r="N364" s="282"/>
      <c r="O364" s="282"/>
      <c r="P364" s="282"/>
      <c r="Q364" s="117">
        <f t="shared" si="573"/>
        <v>5</v>
      </c>
      <c r="R364" s="117">
        <f t="shared" si="574"/>
        <v>0</v>
      </c>
      <c r="S364" s="282"/>
      <c r="T364" s="282">
        <v>1931</v>
      </c>
      <c r="U364" s="282">
        <v>4326</v>
      </c>
    </row>
    <row r="365" spans="1:21" ht="74.25" customHeight="1">
      <c r="A365" s="34"/>
      <c r="B365" s="134" t="s">
        <v>590</v>
      </c>
      <c r="C365" s="113"/>
      <c r="D365" s="113">
        <f t="shared" ref="D365:U366" si="594">D366</f>
        <v>110</v>
      </c>
      <c r="E365" s="113">
        <f t="shared" si="594"/>
        <v>669</v>
      </c>
      <c r="F365" s="113">
        <f t="shared" si="594"/>
        <v>886</v>
      </c>
      <c r="G365" s="113">
        <f t="shared" si="594"/>
        <v>886</v>
      </c>
      <c r="H365" s="113">
        <f t="shared" si="594"/>
        <v>886</v>
      </c>
      <c r="I365" s="113">
        <f t="shared" si="594"/>
        <v>2164</v>
      </c>
      <c r="J365" s="113">
        <f t="shared" si="594"/>
        <v>2164</v>
      </c>
      <c r="K365" s="113">
        <f t="shared" si="594"/>
        <v>2164</v>
      </c>
      <c r="L365" s="296">
        <f t="shared" si="594"/>
        <v>2164</v>
      </c>
      <c r="M365" s="296">
        <f t="shared" si="594"/>
        <v>575</v>
      </c>
      <c r="N365" s="296">
        <f t="shared" si="594"/>
        <v>531</v>
      </c>
      <c r="O365" s="296">
        <f t="shared" si="594"/>
        <v>531</v>
      </c>
      <c r="P365" s="296">
        <f t="shared" si="594"/>
        <v>527</v>
      </c>
      <c r="Q365" s="117">
        <f t="shared" si="573"/>
        <v>2164</v>
      </c>
      <c r="R365" s="117">
        <f t="shared" si="574"/>
        <v>0</v>
      </c>
      <c r="S365" s="296">
        <f t="shared" si="594"/>
        <v>0</v>
      </c>
      <c r="T365" s="296">
        <f t="shared" si="594"/>
        <v>0</v>
      </c>
      <c r="U365" s="296">
        <f t="shared" si="594"/>
        <v>0</v>
      </c>
    </row>
    <row r="366" spans="1:21" ht="17.25" customHeight="1">
      <c r="A366" s="34"/>
      <c r="B366" s="33" t="s">
        <v>165</v>
      </c>
      <c r="C366" s="12"/>
      <c r="D366" s="68">
        <f t="shared" si="594"/>
        <v>110</v>
      </c>
      <c r="E366" s="68">
        <f t="shared" si="594"/>
        <v>669</v>
      </c>
      <c r="F366" s="68">
        <f t="shared" si="594"/>
        <v>886</v>
      </c>
      <c r="G366" s="68">
        <f t="shared" si="594"/>
        <v>886</v>
      </c>
      <c r="H366" s="68">
        <f t="shared" si="594"/>
        <v>886</v>
      </c>
      <c r="I366" s="68">
        <f t="shared" si="594"/>
        <v>2164</v>
      </c>
      <c r="J366" s="68">
        <f t="shared" si="594"/>
        <v>2164</v>
      </c>
      <c r="K366" s="68">
        <f t="shared" si="594"/>
        <v>2164</v>
      </c>
      <c r="L366" s="176">
        <f t="shared" si="594"/>
        <v>2164</v>
      </c>
      <c r="M366" s="176">
        <f t="shared" si="594"/>
        <v>575</v>
      </c>
      <c r="N366" s="176">
        <f t="shared" si="594"/>
        <v>531</v>
      </c>
      <c r="O366" s="176">
        <f t="shared" si="594"/>
        <v>531</v>
      </c>
      <c r="P366" s="176">
        <f t="shared" si="594"/>
        <v>527</v>
      </c>
      <c r="Q366" s="117">
        <f t="shared" si="573"/>
        <v>2164</v>
      </c>
      <c r="R366" s="117">
        <f t="shared" si="574"/>
        <v>0</v>
      </c>
      <c r="S366" s="176">
        <f t="shared" si="594"/>
        <v>0</v>
      </c>
      <c r="T366" s="176">
        <f t="shared" si="594"/>
        <v>0</v>
      </c>
      <c r="U366" s="176">
        <f t="shared" si="594"/>
        <v>0</v>
      </c>
    </row>
    <row r="367" spans="1:21" ht="32.25" customHeight="1">
      <c r="A367" s="34"/>
      <c r="B367" s="32" t="s">
        <v>445</v>
      </c>
      <c r="C367" s="12">
        <v>58</v>
      </c>
      <c r="D367" s="68">
        <f t="shared" ref="D367:U367" si="595">D368+D369+D370</f>
        <v>110</v>
      </c>
      <c r="E367" s="68">
        <f t="shared" ref="E367:F367" si="596">E368+E369+E370</f>
        <v>669</v>
      </c>
      <c r="F367" s="68">
        <f t="shared" si="596"/>
        <v>886</v>
      </c>
      <c r="G367" s="68">
        <f t="shared" si="595"/>
        <v>886</v>
      </c>
      <c r="H367" s="68">
        <f t="shared" si="595"/>
        <v>886</v>
      </c>
      <c r="I367" s="68">
        <f t="shared" si="595"/>
        <v>2164</v>
      </c>
      <c r="J367" s="68">
        <f t="shared" si="595"/>
        <v>2164</v>
      </c>
      <c r="K367" s="68">
        <f t="shared" ref="K367:L367" si="597">K368+K369+K370</f>
        <v>2164</v>
      </c>
      <c r="L367" s="176">
        <f t="shared" si="597"/>
        <v>2164</v>
      </c>
      <c r="M367" s="176">
        <f t="shared" ref="M367:P367" si="598">M368+M369+M370</f>
        <v>575</v>
      </c>
      <c r="N367" s="176">
        <f t="shared" si="598"/>
        <v>531</v>
      </c>
      <c r="O367" s="176">
        <f t="shared" si="598"/>
        <v>531</v>
      </c>
      <c r="P367" s="176">
        <f t="shared" si="598"/>
        <v>527</v>
      </c>
      <c r="Q367" s="117">
        <f t="shared" si="573"/>
        <v>2164</v>
      </c>
      <c r="R367" s="117">
        <f t="shared" si="574"/>
        <v>0</v>
      </c>
      <c r="S367" s="176">
        <f t="shared" si="595"/>
        <v>0</v>
      </c>
      <c r="T367" s="176">
        <f t="shared" si="595"/>
        <v>0</v>
      </c>
      <c r="U367" s="176">
        <f t="shared" si="595"/>
        <v>0</v>
      </c>
    </row>
    <row r="368" spans="1:21" ht="17.25" customHeight="1">
      <c r="A368" s="34"/>
      <c r="B368" s="21" t="s">
        <v>477</v>
      </c>
      <c r="C368" s="12" t="s">
        <v>489</v>
      </c>
      <c r="D368" s="68">
        <v>0</v>
      </c>
      <c r="E368" s="197">
        <v>61</v>
      </c>
      <c r="F368" s="68">
        <v>115</v>
      </c>
      <c r="G368" s="68">
        <v>115</v>
      </c>
      <c r="H368" s="68">
        <v>115</v>
      </c>
      <c r="I368" s="197">
        <v>281</v>
      </c>
      <c r="J368" s="197">
        <v>281</v>
      </c>
      <c r="K368" s="197">
        <v>281</v>
      </c>
      <c r="L368" s="282">
        <v>281</v>
      </c>
      <c r="M368" s="282">
        <v>71</v>
      </c>
      <c r="N368" s="282">
        <v>71</v>
      </c>
      <c r="O368" s="282">
        <v>71</v>
      </c>
      <c r="P368" s="282">
        <v>68</v>
      </c>
      <c r="Q368" s="117">
        <f t="shared" si="573"/>
        <v>281</v>
      </c>
      <c r="R368" s="117">
        <f t="shared" si="574"/>
        <v>0</v>
      </c>
      <c r="S368" s="282"/>
      <c r="T368" s="282"/>
      <c r="U368" s="282"/>
    </row>
    <row r="369" spans="1:21" ht="17.25" customHeight="1">
      <c r="A369" s="34"/>
      <c r="B369" s="21" t="s">
        <v>479</v>
      </c>
      <c r="C369" s="12" t="s">
        <v>490</v>
      </c>
      <c r="D369" s="68">
        <v>110</v>
      </c>
      <c r="E369" s="197">
        <v>608</v>
      </c>
      <c r="F369" s="68">
        <v>753</v>
      </c>
      <c r="G369" s="68">
        <v>753</v>
      </c>
      <c r="H369" s="68">
        <v>753</v>
      </c>
      <c r="I369" s="197">
        <v>1839</v>
      </c>
      <c r="J369" s="197">
        <v>1839</v>
      </c>
      <c r="K369" s="197">
        <v>1839</v>
      </c>
      <c r="L369" s="282">
        <v>1839</v>
      </c>
      <c r="M369" s="282">
        <v>460</v>
      </c>
      <c r="N369" s="282">
        <v>460</v>
      </c>
      <c r="O369" s="282">
        <v>460</v>
      </c>
      <c r="P369" s="282">
        <v>459</v>
      </c>
      <c r="Q369" s="117">
        <f t="shared" si="573"/>
        <v>1839</v>
      </c>
      <c r="R369" s="117">
        <f t="shared" si="574"/>
        <v>0</v>
      </c>
      <c r="S369" s="282"/>
      <c r="T369" s="282"/>
      <c r="U369" s="282"/>
    </row>
    <row r="370" spans="1:21" ht="17.25" customHeight="1">
      <c r="A370" s="34"/>
      <c r="B370" s="21" t="s">
        <v>480</v>
      </c>
      <c r="C370" s="12" t="s">
        <v>491</v>
      </c>
      <c r="D370" s="68">
        <v>0</v>
      </c>
      <c r="E370" s="197">
        <v>0</v>
      </c>
      <c r="F370" s="68">
        <v>18</v>
      </c>
      <c r="G370" s="68">
        <v>18</v>
      </c>
      <c r="H370" s="68">
        <v>18</v>
      </c>
      <c r="I370" s="197">
        <v>44</v>
      </c>
      <c r="J370" s="197">
        <v>44</v>
      </c>
      <c r="K370" s="197">
        <v>44</v>
      </c>
      <c r="L370" s="282">
        <v>44</v>
      </c>
      <c r="M370" s="282">
        <v>44</v>
      </c>
      <c r="N370" s="282"/>
      <c r="O370" s="282"/>
      <c r="P370" s="282"/>
      <c r="Q370" s="117">
        <f t="shared" si="573"/>
        <v>44</v>
      </c>
      <c r="R370" s="117">
        <f t="shared" si="574"/>
        <v>0</v>
      </c>
      <c r="S370" s="282"/>
      <c r="T370" s="282"/>
      <c r="U370" s="282"/>
    </row>
    <row r="371" spans="1:21" ht="46.5" customHeight="1">
      <c r="A371" s="34"/>
      <c r="B371" s="134" t="s">
        <v>564</v>
      </c>
      <c r="C371" s="112"/>
      <c r="D371" s="113">
        <f t="shared" ref="D371:U372" si="599">D372</f>
        <v>0</v>
      </c>
      <c r="E371" s="113">
        <f t="shared" si="599"/>
        <v>2.9000000000000004</v>
      </c>
      <c r="F371" s="113">
        <f t="shared" si="599"/>
        <v>456</v>
      </c>
      <c r="G371" s="113">
        <f t="shared" si="599"/>
        <v>456</v>
      </c>
      <c r="H371" s="113">
        <f t="shared" si="599"/>
        <v>456</v>
      </c>
      <c r="I371" s="113">
        <f t="shared" si="599"/>
        <v>303</v>
      </c>
      <c r="J371" s="113">
        <f t="shared" si="599"/>
        <v>303</v>
      </c>
      <c r="K371" s="113">
        <f t="shared" si="599"/>
        <v>303</v>
      </c>
      <c r="L371" s="296">
        <f t="shared" si="599"/>
        <v>303</v>
      </c>
      <c r="M371" s="296">
        <f t="shared" si="599"/>
        <v>81</v>
      </c>
      <c r="N371" s="296">
        <f t="shared" si="599"/>
        <v>75</v>
      </c>
      <c r="O371" s="296">
        <f t="shared" si="599"/>
        <v>75</v>
      </c>
      <c r="P371" s="296">
        <f t="shared" si="599"/>
        <v>72</v>
      </c>
      <c r="Q371" s="117">
        <f t="shared" si="573"/>
        <v>303</v>
      </c>
      <c r="R371" s="117">
        <f t="shared" si="574"/>
        <v>0</v>
      </c>
      <c r="S371" s="296">
        <f t="shared" si="599"/>
        <v>5009</v>
      </c>
      <c r="T371" s="296">
        <f t="shared" si="599"/>
        <v>7508</v>
      </c>
      <c r="U371" s="296">
        <f t="shared" si="599"/>
        <v>0</v>
      </c>
    </row>
    <row r="372" spans="1:21" ht="17.25" customHeight="1">
      <c r="A372" s="34"/>
      <c r="B372" s="33" t="s">
        <v>165</v>
      </c>
      <c r="C372" s="12"/>
      <c r="D372" s="68">
        <f t="shared" si="599"/>
        <v>0</v>
      </c>
      <c r="E372" s="68">
        <f t="shared" si="599"/>
        <v>2.9000000000000004</v>
      </c>
      <c r="F372" s="68">
        <f t="shared" si="599"/>
        <v>456</v>
      </c>
      <c r="G372" s="68">
        <f t="shared" si="599"/>
        <v>456</v>
      </c>
      <c r="H372" s="68">
        <f t="shared" si="599"/>
        <v>456</v>
      </c>
      <c r="I372" s="68">
        <f t="shared" si="599"/>
        <v>303</v>
      </c>
      <c r="J372" s="68">
        <f t="shared" si="599"/>
        <v>303</v>
      </c>
      <c r="K372" s="68">
        <f t="shared" si="599"/>
        <v>303</v>
      </c>
      <c r="L372" s="176">
        <f t="shared" si="599"/>
        <v>303</v>
      </c>
      <c r="M372" s="176">
        <f t="shared" si="599"/>
        <v>81</v>
      </c>
      <c r="N372" s="176">
        <f t="shared" si="599"/>
        <v>75</v>
      </c>
      <c r="O372" s="176">
        <f t="shared" si="599"/>
        <v>75</v>
      </c>
      <c r="P372" s="176">
        <f t="shared" si="599"/>
        <v>72</v>
      </c>
      <c r="Q372" s="117">
        <f t="shared" si="573"/>
        <v>303</v>
      </c>
      <c r="R372" s="117">
        <f t="shared" si="574"/>
        <v>0</v>
      </c>
      <c r="S372" s="176">
        <f t="shared" si="599"/>
        <v>5009</v>
      </c>
      <c r="T372" s="176">
        <f t="shared" si="599"/>
        <v>7508</v>
      </c>
      <c r="U372" s="176">
        <f t="shared" si="599"/>
        <v>0</v>
      </c>
    </row>
    <row r="373" spans="1:21" ht="17.25" customHeight="1">
      <c r="A373" s="34"/>
      <c r="B373" s="32" t="s">
        <v>445</v>
      </c>
      <c r="C373" s="12">
        <v>58</v>
      </c>
      <c r="D373" s="68">
        <f t="shared" ref="D373:U373" si="600">D374+D375+D376</f>
        <v>0</v>
      </c>
      <c r="E373" s="68">
        <f t="shared" ref="E373:F373" si="601">E374+E375+E376</f>
        <v>2.9000000000000004</v>
      </c>
      <c r="F373" s="68">
        <f t="shared" si="601"/>
        <v>456</v>
      </c>
      <c r="G373" s="68">
        <f t="shared" si="600"/>
        <v>456</v>
      </c>
      <c r="H373" s="68">
        <f t="shared" si="600"/>
        <v>456</v>
      </c>
      <c r="I373" s="68">
        <f t="shared" si="600"/>
        <v>303</v>
      </c>
      <c r="J373" s="68">
        <f t="shared" si="600"/>
        <v>303</v>
      </c>
      <c r="K373" s="68">
        <f t="shared" ref="K373:L373" si="602">K374+K375+K376</f>
        <v>303</v>
      </c>
      <c r="L373" s="176">
        <f t="shared" si="602"/>
        <v>303</v>
      </c>
      <c r="M373" s="176">
        <f t="shared" ref="M373:P373" si="603">M374+M375+M376</f>
        <v>81</v>
      </c>
      <c r="N373" s="176">
        <f t="shared" si="603"/>
        <v>75</v>
      </c>
      <c r="O373" s="176">
        <f t="shared" si="603"/>
        <v>75</v>
      </c>
      <c r="P373" s="176">
        <f t="shared" si="603"/>
        <v>72</v>
      </c>
      <c r="Q373" s="117">
        <f t="shared" si="573"/>
        <v>303</v>
      </c>
      <c r="R373" s="117">
        <f t="shared" si="574"/>
        <v>0</v>
      </c>
      <c r="S373" s="176">
        <f t="shared" si="600"/>
        <v>5009</v>
      </c>
      <c r="T373" s="176">
        <f t="shared" si="600"/>
        <v>7508</v>
      </c>
      <c r="U373" s="176">
        <f t="shared" si="600"/>
        <v>0</v>
      </c>
    </row>
    <row r="374" spans="1:21" ht="17.25" customHeight="1">
      <c r="A374" s="34"/>
      <c r="B374" s="21" t="s">
        <v>477</v>
      </c>
      <c r="C374" s="12" t="s">
        <v>478</v>
      </c>
      <c r="D374" s="68">
        <v>0</v>
      </c>
      <c r="E374" s="197">
        <v>0.8</v>
      </c>
      <c r="F374" s="68">
        <v>59</v>
      </c>
      <c r="G374" s="68">
        <v>59</v>
      </c>
      <c r="H374" s="68">
        <v>59</v>
      </c>
      <c r="I374" s="197">
        <v>85</v>
      </c>
      <c r="J374" s="197">
        <v>85</v>
      </c>
      <c r="K374" s="197">
        <v>85</v>
      </c>
      <c r="L374" s="282">
        <v>85</v>
      </c>
      <c r="M374" s="282">
        <v>22</v>
      </c>
      <c r="N374" s="282">
        <v>22</v>
      </c>
      <c r="O374" s="282">
        <v>22</v>
      </c>
      <c r="P374" s="282">
        <v>19</v>
      </c>
      <c r="Q374" s="117">
        <f t="shared" si="573"/>
        <v>85</v>
      </c>
      <c r="R374" s="117">
        <f t="shared" si="574"/>
        <v>0</v>
      </c>
      <c r="S374" s="282">
        <v>1431</v>
      </c>
      <c r="T374" s="282">
        <v>1432</v>
      </c>
      <c r="U374" s="282"/>
    </row>
    <row r="375" spans="1:21" ht="17.25" customHeight="1">
      <c r="A375" s="34"/>
      <c r="B375" s="21" t="s">
        <v>479</v>
      </c>
      <c r="C375" s="12" t="s">
        <v>447</v>
      </c>
      <c r="D375" s="68">
        <v>0</v>
      </c>
      <c r="E375" s="197">
        <v>2.1</v>
      </c>
      <c r="F375" s="68">
        <v>388</v>
      </c>
      <c r="G375" s="68">
        <v>388</v>
      </c>
      <c r="H375" s="68">
        <v>388</v>
      </c>
      <c r="I375" s="197">
        <v>212</v>
      </c>
      <c r="J375" s="197">
        <v>212</v>
      </c>
      <c r="K375" s="197">
        <v>212</v>
      </c>
      <c r="L375" s="282">
        <v>212</v>
      </c>
      <c r="M375" s="282">
        <v>53</v>
      </c>
      <c r="N375" s="282">
        <v>53</v>
      </c>
      <c r="O375" s="282">
        <v>53</v>
      </c>
      <c r="P375" s="282">
        <v>53</v>
      </c>
      <c r="Q375" s="117">
        <f t="shared" si="573"/>
        <v>212</v>
      </c>
      <c r="R375" s="117">
        <f t="shared" si="574"/>
        <v>0</v>
      </c>
      <c r="S375" s="282">
        <v>3578</v>
      </c>
      <c r="T375" s="282">
        <v>3580</v>
      </c>
      <c r="U375" s="282"/>
    </row>
    <row r="376" spans="1:21" ht="17.25" customHeight="1">
      <c r="A376" s="34"/>
      <c r="B376" s="21" t="s">
        <v>480</v>
      </c>
      <c r="C376" s="12" t="s">
        <v>448</v>
      </c>
      <c r="D376" s="68">
        <v>0</v>
      </c>
      <c r="E376" s="197">
        <v>0</v>
      </c>
      <c r="F376" s="68">
        <v>9</v>
      </c>
      <c r="G376" s="68">
        <v>9</v>
      </c>
      <c r="H376" s="68">
        <v>9</v>
      </c>
      <c r="I376" s="197">
        <v>6</v>
      </c>
      <c r="J376" s="197">
        <v>6</v>
      </c>
      <c r="K376" s="197">
        <v>6</v>
      </c>
      <c r="L376" s="282">
        <v>6</v>
      </c>
      <c r="M376" s="282">
        <v>6</v>
      </c>
      <c r="N376" s="282"/>
      <c r="O376" s="282"/>
      <c r="P376" s="282"/>
      <c r="Q376" s="117">
        <f t="shared" si="573"/>
        <v>6</v>
      </c>
      <c r="R376" s="117">
        <f t="shared" si="574"/>
        <v>0</v>
      </c>
      <c r="S376" s="282"/>
      <c r="T376" s="282">
        <f>102+2394</f>
        <v>2496</v>
      </c>
      <c r="U376" s="282"/>
    </row>
    <row r="377" spans="1:21" ht="45" customHeight="1">
      <c r="A377" s="34"/>
      <c r="B377" s="134" t="s">
        <v>563</v>
      </c>
      <c r="C377" s="112"/>
      <c r="D377" s="113">
        <f t="shared" ref="D377:U378" si="604">D378</f>
        <v>0</v>
      </c>
      <c r="E377" s="113">
        <f t="shared" si="604"/>
        <v>2.9000000000000004</v>
      </c>
      <c r="F377" s="113">
        <f t="shared" si="604"/>
        <v>299</v>
      </c>
      <c r="G377" s="113">
        <f t="shared" si="604"/>
        <v>299</v>
      </c>
      <c r="H377" s="113">
        <f t="shared" si="604"/>
        <v>299</v>
      </c>
      <c r="I377" s="113">
        <f t="shared" si="604"/>
        <v>251</v>
      </c>
      <c r="J377" s="113">
        <f t="shared" si="604"/>
        <v>251</v>
      </c>
      <c r="K377" s="113">
        <f t="shared" si="604"/>
        <v>251</v>
      </c>
      <c r="L377" s="296">
        <f t="shared" si="604"/>
        <v>251</v>
      </c>
      <c r="M377" s="296">
        <f t="shared" si="604"/>
        <v>141</v>
      </c>
      <c r="N377" s="296">
        <f t="shared" si="604"/>
        <v>38</v>
      </c>
      <c r="O377" s="296">
        <f t="shared" si="604"/>
        <v>38</v>
      </c>
      <c r="P377" s="296">
        <f t="shared" si="604"/>
        <v>34</v>
      </c>
      <c r="Q377" s="117">
        <f t="shared" si="573"/>
        <v>251</v>
      </c>
      <c r="R377" s="117">
        <f t="shared" si="574"/>
        <v>0</v>
      </c>
      <c r="S377" s="296">
        <f t="shared" si="604"/>
        <v>3780</v>
      </c>
      <c r="T377" s="296">
        <f t="shared" si="604"/>
        <v>9238</v>
      </c>
      <c r="U377" s="296">
        <f t="shared" si="604"/>
        <v>0</v>
      </c>
    </row>
    <row r="378" spans="1:21" ht="17.25" customHeight="1">
      <c r="A378" s="34"/>
      <c r="B378" s="33" t="s">
        <v>165</v>
      </c>
      <c r="C378" s="12"/>
      <c r="D378" s="68">
        <f t="shared" si="604"/>
        <v>0</v>
      </c>
      <c r="E378" s="68">
        <f t="shared" si="604"/>
        <v>2.9000000000000004</v>
      </c>
      <c r="F378" s="68">
        <f t="shared" si="604"/>
        <v>299</v>
      </c>
      <c r="G378" s="68">
        <f t="shared" si="604"/>
        <v>299</v>
      </c>
      <c r="H378" s="68">
        <f t="shared" si="604"/>
        <v>299</v>
      </c>
      <c r="I378" s="68">
        <f t="shared" si="604"/>
        <v>251</v>
      </c>
      <c r="J378" s="68">
        <f t="shared" si="604"/>
        <v>251</v>
      </c>
      <c r="K378" s="68">
        <f t="shared" si="604"/>
        <v>251</v>
      </c>
      <c r="L378" s="176">
        <f t="shared" si="604"/>
        <v>251</v>
      </c>
      <c r="M378" s="176">
        <f t="shared" si="604"/>
        <v>141</v>
      </c>
      <c r="N378" s="176">
        <f t="shared" si="604"/>
        <v>38</v>
      </c>
      <c r="O378" s="176">
        <f t="shared" si="604"/>
        <v>38</v>
      </c>
      <c r="P378" s="176">
        <f t="shared" si="604"/>
        <v>34</v>
      </c>
      <c r="Q378" s="117">
        <f t="shared" si="573"/>
        <v>251</v>
      </c>
      <c r="R378" s="117">
        <f t="shared" si="574"/>
        <v>0</v>
      </c>
      <c r="S378" s="176">
        <f t="shared" si="604"/>
        <v>3780</v>
      </c>
      <c r="T378" s="176">
        <f t="shared" si="604"/>
        <v>9238</v>
      </c>
      <c r="U378" s="176">
        <f t="shared" si="604"/>
        <v>0</v>
      </c>
    </row>
    <row r="379" spans="1:21" ht="17.25" customHeight="1">
      <c r="A379" s="34"/>
      <c r="B379" s="32" t="s">
        <v>445</v>
      </c>
      <c r="C379" s="12">
        <v>58</v>
      </c>
      <c r="D379" s="68">
        <f t="shared" ref="D379:U379" si="605">D380+D381+D382</f>
        <v>0</v>
      </c>
      <c r="E379" s="68">
        <f t="shared" ref="E379:F379" si="606">E380+E381+E382</f>
        <v>2.9000000000000004</v>
      </c>
      <c r="F379" s="68">
        <f t="shared" si="606"/>
        <v>299</v>
      </c>
      <c r="G379" s="68">
        <f t="shared" si="605"/>
        <v>299</v>
      </c>
      <c r="H379" s="68">
        <f t="shared" si="605"/>
        <v>299</v>
      </c>
      <c r="I379" s="68">
        <f t="shared" si="605"/>
        <v>251</v>
      </c>
      <c r="J379" s="68">
        <f t="shared" si="605"/>
        <v>251</v>
      </c>
      <c r="K379" s="68">
        <f t="shared" ref="K379:L379" si="607">K380+K381+K382</f>
        <v>251</v>
      </c>
      <c r="L379" s="176">
        <f t="shared" si="607"/>
        <v>251</v>
      </c>
      <c r="M379" s="176">
        <f t="shared" ref="M379:P379" si="608">M380+M381+M382</f>
        <v>141</v>
      </c>
      <c r="N379" s="176">
        <f t="shared" si="608"/>
        <v>38</v>
      </c>
      <c r="O379" s="176">
        <f t="shared" si="608"/>
        <v>38</v>
      </c>
      <c r="P379" s="176">
        <f t="shared" si="608"/>
        <v>34</v>
      </c>
      <c r="Q379" s="117">
        <f t="shared" si="573"/>
        <v>251</v>
      </c>
      <c r="R379" s="117">
        <f t="shared" si="574"/>
        <v>0</v>
      </c>
      <c r="S379" s="176">
        <f t="shared" si="605"/>
        <v>3780</v>
      </c>
      <c r="T379" s="176">
        <f t="shared" si="605"/>
        <v>9238</v>
      </c>
      <c r="U379" s="176">
        <f t="shared" si="605"/>
        <v>0</v>
      </c>
    </row>
    <row r="380" spans="1:21" ht="17.25" customHeight="1">
      <c r="A380" s="34"/>
      <c r="B380" s="21" t="s">
        <v>477</v>
      </c>
      <c r="C380" s="12" t="s">
        <v>478</v>
      </c>
      <c r="D380" s="68">
        <v>0</v>
      </c>
      <c r="E380" s="197">
        <v>0.8</v>
      </c>
      <c r="F380" s="68">
        <v>39</v>
      </c>
      <c r="G380" s="68">
        <v>39</v>
      </c>
      <c r="H380" s="68">
        <v>39</v>
      </c>
      <c r="I380" s="197">
        <v>42</v>
      </c>
      <c r="J380" s="197">
        <v>42</v>
      </c>
      <c r="K380" s="197">
        <v>42</v>
      </c>
      <c r="L380" s="282">
        <v>42</v>
      </c>
      <c r="M380" s="282">
        <v>11</v>
      </c>
      <c r="N380" s="282">
        <v>11</v>
      </c>
      <c r="O380" s="282">
        <v>11</v>
      </c>
      <c r="P380" s="282">
        <v>9</v>
      </c>
      <c r="Q380" s="117">
        <f t="shared" si="573"/>
        <v>42</v>
      </c>
      <c r="R380" s="117">
        <f t="shared" si="574"/>
        <v>0</v>
      </c>
      <c r="S380" s="282">
        <v>1080</v>
      </c>
      <c r="T380" s="282">
        <v>847</v>
      </c>
      <c r="U380" s="282"/>
    </row>
    <row r="381" spans="1:21" ht="17.25" customHeight="1">
      <c r="A381" s="34"/>
      <c r="B381" s="21" t="s">
        <v>479</v>
      </c>
      <c r="C381" s="12" t="s">
        <v>447</v>
      </c>
      <c r="D381" s="68">
        <v>0</v>
      </c>
      <c r="E381" s="197">
        <v>2.1</v>
      </c>
      <c r="F381" s="68">
        <v>254</v>
      </c>
      <c r="G381" s="68">
        <v>254</v>
      </c>
      <c r="H381" s="68">
        <v>254</v>
      </c>
      <c r="I381" s="197">
        <v>106</v>
      </c>
      <c r="J381" s="197">
        <v>106</v>
      </c>
      <c r="K381" s="197">
        <v>106</v>
      </c>
      <c r="L381" s="282">
        <v>106</v>
      </c>
      <c r="M381" s="282">
        <v>27</v>
      </c>
      <c r="N381" s="282">
        <v>27</v>
      </c>
      <c r="O381" s="282">
        <v>27</v>
      </c>
      <c r="P381" s="282">
        <v>25</v>
      </c>
      <c r="Q381" s="117">
        <f t="shared" si="573"/>
        <v>106</v>
      </c>
      <c r="R381" s="117">
        <f t="shared" si="574"/>
        <v>0</v>
      </c>
      <c r="S381" s="282">
        <v>2700</v>
      </c>
      <c r="T381" s="282">
        <v>5540</v>
      </c>
      <c r="U381" s="282"/>
    </row>
    <row r="382" spans="1:21" ht="17.25" customHeight="1">
      <c r="A382" s="34"/>
      <c r="B382" s="21" t="s">
        <v>480</v>
      </c>
      <c r="C382" s="12" t="s">
        <v>448</v>
      </c>
      <c r="D382" s="68">
        <v>0</v>
      </c>
      <c r="E382" s="197">
        <v>0</v>
      </c>
      <c r="F382" s="68">
        <v>6</v>
      </c>
      <c r="G382" s="68">
        <v>6</v>
      </c>
      <c r="H382" s="68">
        <v>6</v>
      </c>
      <c r="I382" s="197">
        <v>103</v>
      </c>
      <c r="J382" s="197">
        <v>103</v>
      </c>
      <c r="K382" s="197">
        <v>103</v>
      </c>
      <c r="L382" s="282">
        <v>103</v>
      </c>
      <c r="M382" s="282">
        <v>103</v>
      </c>
      <c r="N382" s="282"/>
      <c r="O382" s="282"/>
      <c r="P382" s="282"/>
      <c r="Q382" s="117">
        <f t="shared" si="573"/>
        <v>103</v>
      </c>
      <c r="R382" s="117">
        <f t="shared" si="574"/>
        <v>0</v>
      </c>
      <c r="S382" s="282"/>
      <c r="T382" s="282">
        <f>2720+131</f>
        <v>2851</v>
      </c>
      <c r="U382" s="282"/>
    </row>
    <row r="383" spans="1:21" ht="14.25">
      <c r="A383" s="41">
        <v>2</v>
      </c>
      <c r="B383" s="187" t="s">
        <v>591</v>
      </c>
      <c r="C383" s="184" t="s">
        <v>211</v>
      </c>
      <c r="D383" s="185">
        <f t="shared" ref="D383:U383" si="609">D384+D388+D397+D403+D407</f>
        <v>8408</v>
      </c>
      <c r="E383" s="185">
        <f t="shared" ref="E383:F383" si="610">E384+E388+E397+E403+E407</f>
        <v>9081</v>
      </c>
      <c r="F383" s="185">
        <f t="shared" si="610"/>
        <v>9848</v>
      </c>
      <c r="G383" s="185">
        <f t="shared" si="609"/>
        <v>10148</v>
      </c>
      <c r="H383" s="185">
        <f t="shared" si="609"/>
        <v>9848</v>
      </c>
      <c r="I383" s="185">
        <f t="shared" si="609"/>
        <v>9610</v>
      </c>
      <c r="J383" s="185">
        <f t="shared" si="609"/>
        <v>9500</v>
      </c>
      <c r="K383" s="185">
        <f t="shared" ref="K383:L383" si="611">K384+K388+K397+K403+K407</f>
        <v>9697</v>
      </c>
      <c r="L383" s="299">
        <f t="shared" si="611"/>
        <v>9555</v>
      </c>
      <c r="M383" s="299">
        <f t="shared" ref="M383:P383" si="612">M384+M388+M397+M403+M407</f>
        <v>2300</v>
      </c>
      <c r="N383" s="299">
        <f t="shared" si="612"/>
        <v>2600</v>
      </c>
      <c r="O383" s="299">
        <f t="shared" si="612"/>
        <v>2500</v>
      </c>
      <c r="P383" s="299">
        <f t="shared" si="612"/>
        <v>2155</v>
      </c>
      <c r="Q383" s="117">
        <f t="shared" si="573"/>
        <v>9555</v>
      </c>
      <c r="R383" s="117">
        <f t="shared" si="574"/>
        <v>0</v>
      </c>
      <c r="S383" s="299">
        <f t="shared" si="609"/>
        <v>9600</v>
      </c>
      <c r="T383" s="299">
        <f t="shared" si="609"/>
        <v>9600</v>
      </c>
      <c r="U383" s="299">
        <f t="shared" si="609"/>
        <v>9600</v>
      </c>
    </row>
    <row r="384" spans="1:21" ht="14.25">
      <c r="A384" s="34" t="s">
        <v>212</v>
      </c>
      <c r="B384" s="26" t="s">
        <v>731</v>
      </c>
      <c r="C384" s="84" t="s">
        <v>211</v>
      </c>
      <c r="D384" s="73">
        <f t="shared" ref="D384:U386" si="613">D385</f>
        <v>0</v>
      </c>
      <c r="E384" s="73">
        <f t="shared" si="613"/>
        <v>0</v>
      </c>
      <c r="F384" s="73">
        <f t="shared" si="613"/>
        <v>500</v>
      </c>
      <c r="G384" s="73">
        <f t="shared" si="613"/>
        <v>500</v>
      </c>
      <c r="H384" s="73">
        <f t="shared" si="613"/>
        <v>500</v>
      </c>
      <c r="I384" s="73">
        <f t="shared" si="613"/>
        <v>500</v>
      </c>
      <c r="J384" s="73">
        <f t="shared" si="613"/>
        <v>500</v>
      </c>
      <c r="K384" s="73">
        <f t="shared" si="613"/>
        <v>500</v>
      </c>
      <c r="L384" s="292">
        <f t="shared" si="613"/>
        <v>500</v>
      </c>
      <c r="M384" s="292">
        <f t="shared" si="613"/>
        <v>0</v>
      </c>
      <c r="N384" s="292">
        <f t="shared" si="613"/>
        <v>300</v>
      </c>
      <c r="O384" s="292">
        <f t="shared" si="613"/>
        <v>200</v>
      </c>
      <c r="P384" s="292">
        <f t="shared" si="613"/>
        <v>0</v>
      </c>
      <c r="Q384" s="117">
        <f t="shared" si="573"/>
        <v>500</v>
      </c>
      <c r="R384" s="117">
        <f t="shared" si="574"/>
        <v>0</v>
      </c>
      <c r="S384" s="292">
        <f t="shared" si="613"/>
        <v>500</v>
      </c>
      <c r="T384" s="292">
        <f t="shared" si="613"/>
        <v>500</v>
      </c>
      <c r="U384" s="292">
        <f t="shared" si="613"/>
        <v>500</v>
      </c>
    </row>
    <row r="385" spans="1:21" ht="14.25">
      <c r="A385" s="34"/>
      <c r="B385" s="24" t="s">
        <v>153</v>
      </c>
      <c r="C385" s="84"/>
      <c r="D385" s="73">
        <f t="shared" si="613"/>
        <v>0</v>
      </c>
      <c r="E385" s="73">
        <f t="shared" si="613"/>
        <v>0</v>
      </c>
      <c r="F385" s="73">
        <f t="shared" si="613"/>
        <v>500</v>
      </c>
      <c r="G385" s="73">
        <f t="shared" si="613"/>
        <v>500</v>
      </c>
      <c r="H385" s="73">
        <f t="shared" si="613"/>
        <v>500</v>
      </c>
      <c r="I385" s="73">
        <f t="shared" si="613"/>
        <v>500</v>
      </c>
      <c r="J385" s="73">
        <f t="shared" si="613"/>
        <v>500</v>
      </c>
      <c r="K385" s="73">
        <f t="shared" si="613"/>
        <v>500</v>
      </c>
      <c r="L385" s="292">
        <f t="shared" si="613"/>
        <v>500</v>
      </c>
      <c r="M385" s="292">
        <f t="shared" si="613"/>
        <v>0</v>
      </c>
      <c r="N385" s="292">
        <f t="shared" si="613"/>
        <v>300</v>
      </c>
      <c r="O385" s="292">
        <f t="shared" si="613"/>
        <v>200</v>
      </c>
      <c r="P385" s="292">
        <f t="shared" si="613"/>
        <v>0</v>
      </c>
      <c r="Q385" s="117">
        <f t="shared" si="573"/>
        <v>500</v>
      </c>
      <c r="R385" s="117">
        <f t="shared" si="574"/>
        <v>0</v>
      </c>
      <c r="S385" s="292">
        <f t="shared" si="613"/>
        <v>500</v>
      </c>
      <c r="T385" s="292">
        <f t="shared" si="613"/>
        <v>500</v>
      </c>
      <c r="U385" s="292">
        <f t="shared" si="613"/>
        <v>500</v>
      </c>
    </row>
    <row r="386" spans="1:21" ht="15">
      <c r="A386" s="34"/>
      <c r="B386" s="33" t="s">
        <v>154</v>
      </c>
      <c r="C386" s="84"/>
      <c r="D386" s="73">
        <f t="shared" si="613"/>
        <v>0</v>
      </c>
      <c r="E386" s="73">
        <f t="shared" si="613"/>
        <v>0</v>
      </c>
      <c r="F386" s="73">
        <f t="shared" si="613"/>
        <v>500</v>
      </c>
      <c r="G386" s="73">
        <f t="shared" si="613"/>
        <v>500</v>
      </c>
      <c r="H386" s="73">
        <f t="shared" si="613"/>
        <v>500</v>
      </c>
      <c r="I386" s="73">
        <f t="shared" si="613"/>
        <v>500</v>
      </c>
      <c r="J386" s="73">
        <f t="shared" si="613"/>
        <v>500</v>
      </c>
      <c r="K386" s="73">
        <f t="shared" si="613"/>
        <v>500</v>
      </c>
      <c r="L386" s="292">
        <f t="shared" si="613"/>
        <v>500</v>
      </c>
      <c r="M386" s="292">
        <f t="shared" si="613"/>
        <v>0</v>
      </c>
      <c r="N386" s="292">
        <f t="shared" si="613"/>
        <v>300</v>
      </c>
      <c r="O386" s="292">
        <f t="shared" si="613"/>
        <v>200</v>
      </c>
      <c r="P386" s="292">
        <f t="shared" si="613"/>
        <v>0</v>
      </c>
      <c r="Q386" s="117">
        <f t="shared" si="573"/>
        <v>500</v>
      </c>
      <c r="R386" s="117">
        <f t="shared" si="574"/>
        <v>0</v>
      </c>
      <c r="S386" s="292">
        <f t="shared" si="613"/>
        <v>500</v>
      </c>
      <c r="T386" s="292">
        <f t="shared" si="613"/>
        <v>500</v>
      </c>
      <c r="U386" s="292">
        <f t="shared" si="613"/>
        <v>500</v>
      </c>
    </row>
    <row r="387" spans="1:21" ht="30">
      <c r="A387" s="34"/>
      <c r="B387" s="32" t="s">
        <v>213</v>
      </c>
      <c r="C387" s="12" t="s">
        <v>214</v>
      </c>
      <c r="D387" s="68">
        <v>0</v>
      </c>
      <c r="E387" s="197">
        <v>0</v>
      </c>
      <c r="F387" s="68">
        <v>500</v>
      </c>
      <c r="G387" s="68">
        <v>500</v>
      </c>
      <c r="H387" s="68">
        <v>500</v>
      </c>
      <c r="I387" s="197">
        <v>500</v>
      </c>
      <c r="J387" s="197">
        <v>500</v>
      </c>
      <c r="K387" s="197">
        <v>500</v>
      </c>
      <c r="L387" s="282">
        <v>500</v>
      </c>
      <c r="M387" s="282">
        <v>0</v>
      </c>
      <c r="N387" s="282">
        <v>300</v>
      </c>
      <c r="O387" s="282">
        <v>200</v>
      </c>
      <c r="P387" s="282"/>
      <c r="Q387" s="117">
        <f t="shared" si="573"/>
        <v>500</v>
      </c>
      <c r="R387" s="117">
        <f t="shared" si="574"/>
        <v>0</v>
      </c>
      <c r="S387" s="282">
        <v>500</v>
      </c>
      <c r="T387" s="282">
        <v>500</v>
      </c>
      <c r="U387" s="282">
        <v>500</v>
      </c>
    </row>
    <row r="388" spans="1:21" ht="28.5" customHeight="1">
      <c r="A388" s="34" t="s">
        <v>215</v>
      </c>
      <c r="B388" s="50" t="s">
        <v>579</v>
      </c>
      <c r="C388" s="84" t="s">
        <v>216</v>
      </c>
      <c r="D388" s="73">
        <f t="shared" ref="D388:H388" si="614">D389+D395</f>
        <v>2723</v>
      </c>
      <c r="E388" s="73">
        <f t="shared" si="614"/>
        <v>3361</v>
      </c>
      <c r="F388" s="73">
        <f t="shared" ref="F388" si="615">F389+F395</f>
        <v>3548</v>
      </c>
      <c r="G388" s="73">
        <f t="shared" si="614"/>
        <v>3848</v>
      </c>
      <c r="H388" s="73">
        <f t="shared" si="614"/>
        <v>3548</v>
      </c>
      <c r="I388" s="73">
        <f t="shared" ref="I388:U388" si="616">I389+I395</f>
        <v>3310</v>
      </c>
      <c r="J388" s="73">
        <f t="shared" si="616"/>
        <v>3200</v>
      </c>
      <c r="K388" s="73">
        <f t="shared" ref="K388:L388" si="617">K389+K395</f>
        <v>3397</v>
      </c>
      <c r="L388" s="292">
        <f t="shared" si="617"/>
        <v>3255</v>
      </c>
      <c r="M388" s="292">
        <f t="shared" ref="M388:P388" si="618">M389+M395</f>
        <v>800</v>
      </c>
      <c r="N388" s="292">
        <f t="shared" si="618"/>
        <v>800</v>
      </c>
      <c r="O388" s="292">
        <f t="shared" si="618"/>
        <v>800</v>
      </c>
      <c r="P388" s="292">
        <f t="shared" si="618"/>
        <v>855</v>
      </c>
      <c r="Q388" s="117">
        <f t="shared" si="573"/>
        <v>3255</v>
      </c>
      <c r="R388" s="117">
        <f t="shared" si="574"/>
        <v>0</v>
      </c>
      <c r="S388" s="292">
        <f t="shared" si="616"/>
        <v>3300</v>
      </c>
      <c r="T388" s="292">
        <f t="shared" si="616"/>
        <v>3300</v>
      </c>
      <c r="U388" s="292">
        <f t="shared" si="616"/>
        <v>3300</v>
      </c>
    </row>
    <row r="389" spans="1:21" ht="14.25">
      <c r="A389" s="34"/>
      <c r="B389" s="24" t="s">
        <v>153</v>
      </c>
      <c r="C389" s="84"/>
      <c r="D389" s="73">
        <f t="shared" ref="D389:U390" si="619">D390</f>
        <v>2714</v>
      </c>
      <c r="E389" s="73">
        <f>E390+E394</f>
        <v>3326</v>
      </c>
      <c r="F389" s="73">
        <f t="shared" si="619"/>
        <v>3511</v>
      </c>
      <c r="G389" s="73">
        <f t="shared" si="619"/>
        <v>3820</v>
      </c>
      <c r="H389" s="73">
        <f t="shared" si="619"/>
        <v>3511</v>
      </c>
      <c r="I389" s="73">
        <f t="shared" si="619"/>
        <v>3299</v>
      </c>
      <c r="J389" s="73">
        <f t="shared" si="619"/>
        <v>3200</v>
      </c>
      <c r="K389" s="73">
        <f t="shared" si="619"/>
        <v>3386</v>
      </c>
      <c r="L389" s="292">
        <f t="shared" si="619"/>
        <v>3255</v>
      </c>
      <c r="M389" s="292">
        <f t="shared" si="619"/>
        <v>800</v>
      </c>
      <c r="N389" s="292">
        <f t="shared" si="619"/>
        <v>800</v>
      </c>
      <c r="O389" s="292">
        <f t="shared" si="619"/>
        <v>800</v>
      </c>
      <c r="P389" s="292">
        <f t="shared" si="619"/>
        <v>855</v>
      </c>
      <c r="Q389" s="117">
        <f t="shared" si="573"/>
        <v>3255</v>
      </c>
      <c r="R389" s="117">
        <f t="shared" si="574"/>
        <v>0</v>
      </c>
      <c r="S389" s="292">
        <f t="shared" si="619"/>
        <v>3300</v>
      </c>
      <c r="T389" s="292">
        <f t="shared" si="619"/>
        <v>3300</v>
      </c>
      <c r="U389" s="292">
        <f t="shared" si="619"/>
        <v>3300</v>
      </c>
    </row>
    <row r="390" spans="1:21" ht="15">
      <c r="A390" s="34"/>
      <c r="B390" s="33" t="s">
        <v>154</v>
      </c>
      <c r="C390" s="12">
        <v>0.01</v>
      </c>
      <c r="D390" s="69">
        <f t="shared" si="619"/>
        <v>2714</v>
      </c>
      <c r="E390" s="69">
        <f t="shared" si="619"/>
        <v>3334</v>
      </c>
      <c r="F390" s="69">
        <f t="shared" si="619"/>
        <v>3511</v>
      </c>
      <c r="G390" s="69">
        <f t="shared" si="619"/>
        <v>3820</v>
      </c>
      <c r="H390" s="69">
        <f t="shared" si="619"/>
        <v>3511</v>
      </c>
      <c r="I390" s="69">
        <f t="shared" si="619"/>
        <v>3299</v>
      </c>
      <c r="J390" s="69">
        <f t="shared" si="619"/>
        <v>3200</v>
      </c>
      <c r="K390" s="69">
        <f t="shared" si="619"/>
        <v>3386</v>
      </c>
      <c r="L390" s="283">
        <f t="shared" si="619"/>
        <v>3255</v>
      </c>
      <c r="M390" s="283">
        <f t="shared" si="619"/>
        <v>800</v>
      </c>
      <c r="N390" s="283">
        <f t="shared" si="619"/>
        <v>800</v>
      </c>
      <c r="O390" s="283">
        <f t="shared" si="619"/>
        <v>800</v>
      </c>
      <c r="P390" s="283">
        <f t="shared" si="619"/>
        <v>855</v>
      </c>
      <c r="Q390" s="117">
        <f t="shared" si="573"/>
        <v>3255</v>
      </c>
      <c r="R390" s="117">
        <f t="shared" si="574"/>
        <v>0</v>
      </c>
      <c r="S390" s="283">
        <f t="shared" si="619"/>
        <v>3300</v>
      </c>
      <c r="T390" s="283">
        <f t="shared" si="619"/>
        <v>3300</v>
      </c>
      <c r="U390" s="283">
        <f t="shared" si="619"/>
        <v>3300</v>
      </c>
    </row>
    <row r="391" spans="1:21" ht="15">
      <c r="A391" s="34"/>
      <c r="B391" s="33" t="s">
        <v>592</v>
      </c>
      <c r="C391" s="12" t="s">
        <v>217</v>
      </c>
      <c r="D391" s="69">
        <f>D392+D393+D394</f>
        <v>2714</v>
      </c>
      <c r="E391" s="69">
        <f>E392+E393</f>
        <v>3334</v>
      </c>
      <c r="F391" s="69">
        <f>F392+F393+F394</f>
        <v>3511</v>
      </c>
      <c r="G391" s="69">
        <f t="shared" ref="G391:U391" si="620">G392+G393</f>
        <v>3820</v>
      </c>
      <c r="H391" s="69">
        <f>H392+H393+H394</f>
        <v>3511</v>
      </c>
      <c r="I391" s="69">
        <f t="shared" si="620"/>
        <v>3299</v>
      </c>
      <c r="J391" s="69">
        <f t="shared" si="620"/>
        <v>3200</v>
      </c>
      <c r="K391" s="69">
        <f t="shared" ref="K391:L391" si="621">K392+K393</f>
        <v>3386</v>
      </c>
      <c r="L391" s="283">
        <f t="shared" si="621"/>
        <v>3255</v>
      </c>
      <c r="M391" s="283">
        <f t="shared" ref="M391:P391" si="622">M392+M393</f>
        <v>800</v>
      </c>
      <c r="N391" s="283">
        <f t="shared" si="622"/>
        <v>800</v>
      </c>
      <c r="O391" s="283">
        <f t="shared" si="622"/>
        <v>800</v>
      </c>
      <c r="P391" s="283">
        <f t="shared" si="622"/>
        <v>855</v>
      </c>
      <c r="Q391" s="117">
        <f t="shared" si="573"/>
        <v>3255</v>
      </c>
      <c r="R391" s="117">
        <f t="shared" si="574"/>
        <v>0</v>
      </c>
      <c r="S391" s="283">
        <f t="shared" si="620"/>
        <v>3300</v>
      </c>
      <c r="T391" s="283">
        <f t="shared" si="620"/>
        <v>3300</v>
      </c>
      <c r="U391" s="283">
        <f t="shared" si="620"/>
        <v>3300</v>
      </c>
    </row>
    <row r="392" spans="1:21" ht="15">
      <c r="A392" s="34"/>
      <c r="B392" s="33" t="s">
        <v>155</v>
      </c>
      <c r="C392" s="12">
        <v>10</v>
      </c>
      <c r="D392" s="68">
        <v>2376</v>
      </c>
      <c r="E392" s="197">
        <v>2872</v>
      </c>
      <c r="F392" s="68">
        <v>2960</v>
      </c>
      <c r="G392" s="68">
        <v>3500</v>
      </c>
      <c r="H392" s="68">
        <v>2960</v>
      </c>
      <c r="I392" s="197">
        <v>2900</v>
      </c>
      <c r="J392" s="197">
        <v>2900</v>
      </c>
      <c r="K392" s="197">
        <v>2855</v>
      </c>
      <c r="L392" s="282">
        <v>2855</v>
      </c>
      <c r="M392" s="282">
        <f>70+580+50</f>
        <v>700</v>
      </c>
      <c r="N392" s="282">
        <f>70+580+50</f>
        <v>700</v>
      </c>
      <c r="O392" s="282">
        <f>60+590+50</f>
        <v>700</v>
      </c>
      <c r="P392" s="282">
        <f>83+672</f>
        <v>755</v>
      </c>
      <c r="Q392" s="117">
        <f t="shared" si="573"/>
        <v>2855</v>
      </c>
      <c r="R392" s="117">
        <f t="shared" si="574"/>
        <v>0</v>
      </c>
      <c r="S392" s="282">
        <v>2900</v>
      </c>
      <c r="T392" s="282">
        <v>2900</v>
      </c>
      <c r="U392" s="282">
        <v>2900</v>
      </c>
    </row>
    <row r="393" spans="1:21" ht="15.75" customHeight="1">
      <c r="A393" s="34"/>
      <c r="B393" s="33" t="s">
        <v>588</v>
      </c>
      <c r="C393" s="12">
        <v>20</v>
      </c>
      <c r="D393" s="68">
        <v>345</v>
      </c>
      <c r="E393" s="197">
        <v>462</v>
      </c>
      <c r="F393" s="68">
        <v>555</v>
      </c>
      <c r="G393" s="68">
        <v>320</v>
      </c>
      <c r="H393" s="68">
        <v>555</v>
      </c>
      <c r="I393" s="197">
        <v>399</v>
      </c>
      <c r="J393" s="197">
        <v>300</v>
      </c>
      <c r="K393" s="197">
        <v>531</v>
      </c>
      <c r="L393" s="282">
        <v>400</v>
      </c>
      <c r="M393" s="282">
        <v>100</v>
      </c>
      <c r="N393" s="282">
        <v>100</v>
      </c>
      <c r="O393" s="282">
        <v>100</v>
      </c>
      <c r="P393" s="282">
        <v>100</v>
      </c>
      <c r="Q393" s="117">
        <f t="shared" si="573"/>
        <v>400</v>
      </c>
      <c r="R393" s="117">
        <f t="shared" si="574"/>
        <v>0</v>
      </c>
      <c r="S393" s="282">
        <v>400</v>
      </c>
      <c r="T393" s="282">
        <v>400</v>
      </c>
      <c r="U393" s="282">
        <v>400</v>
      </c>
    </row>
    <row r="394" spans="1:21" ht="16.5" hidden="1" customHeight="1">
      <c r="A394" s="34"/>
      <c r="B394" s="33" t="s">
        <v>164</v>
      </c>
      <c r="C394" s="12" t="s">
        <v>252</v>
      </c>
      <c r="D394" s="68">
        <v>-7</v>
      </c>
      <c r="E394" s="197">
        <v>-8</v>
      </c>
      <c r="F394" s="68">
        <v>-4</v>
      </c>
      <c r="G394" s="68"/>
      <c r="H394" s="68">
        <v>-4</v>
      </c>
      <c r="I394" s="197"/>
      <c r="J394" s="197"/>
      <c r="K394" s="197"/>
      <c r="L394" s="282"/>
      <c r="M394" s="282"/>
      <c r="N394" s="282"/>
      <c r="O394" s="282"/>
      <c r="P394" s="282"/>
      <c r="Q394" s="117">
        <f t="shared" si="573"/>
        <v>0</v>
      </c>
      <c r="R394" s="117">
        <f t="shared" si="574"/>
        <v>0</v>
      </c>
      <c r="S394" s="282"/>
      <c r="T394" s="282"/>
      <c r="U394" s="282"/>
    </row>
    <row r="395" spans="1:21" ht="15.75" hidden="1" customHeight="1">
      <c r="A395" s="34"/>
      <c r="B395" s="26" t="s">
        <v>165</v>
      </c>
      <c r="C395" s="12"/>
      <c r="D395" s="73">
        <f t="shared" ref="D395:U395" si="623">D396</f>
        <v>9</v>
      </c>
      <c r="E395" s="73">
        <f t="shared" si="623"/>
        <v>35</v>
      </c>
      <c r="F395" s="73">
        <f t="shared" si="623"/>
        <v>37</v>
      </c>
      <c r="G395" s="73">
        <f t="shared" si="623"/>
        <v>28</v>
      </c>
      <c r="H395" s="73">
        <f t="shared" si="623"/>
        <v>37</v>
      </c>
      <c r="I395" s="73">
        <f t="shared" si="623"/>
        <v>11</v>
      </c>
      <c r="J395" s="73">
        <f t="shared" si="623"/>
        <v>0</v>
      </c>
      <c r="K395" s="73">
        <f t="shared" si="623"/>
        <v>11</v>
      </c>
      <c r="L395" s="292">
        <f t="shared" si="623"/>
        <v>0</v>
      </c>
      <c r="M395" s="292">
        <f t="shared" si="623"/>
        <v>0</v>
      </c>
      <c r="N395" s="292">
        <f t="shared" si="623"/>
        <v>0</v>
      </c>
      <c r="O395" s="292">
        <f t="shared" si="623"/>
        <v>0</v>
      </c>
      <c r="P395" s="292">
        <f t="shared" si="623"/>
        <v>0</v>
      </c>
      <c r="Q395" s="117">
        <f t="shared" si="573"/>
        <v>0</v>
      </c>
      <c r="R395" s="117">
        <f t="shared" si="574"/>
        <v>0</v>
      </c>
      <c r="S395" s="292">
        <f t="shared" si="623"/>
        <v>0</v>
      </c>
      <c r="T395" s="292">
        <f t="shared" si="623"/>
        <v>0</v>
      </c>
      <c r="U395" s="292">
        <f t="shared" si="623"/>
        <v>0</v>
      </c>
    </row>
    <row r="396" spans="1:21" ht="18.75" hidden="1" customHeight="1">
      <c r="A396" s="34"/>
      <c r="B396" s="33" t="s">
        <v>218</v>
      </c>
      <c r="C396" s="12" t="s">
        <v>172</v>
      </c>
      <c r="D396" s="68">
        <v>9</v>
      </c>
      <c r="E396" s="197">
        <v>35</v>
      </c>
      <c r="F396" s="68">
        <v>37</v>
      </c>
      <c r="G396" s="68">
        <v>28</v>
      </c>
      <c r="H396" s="68">
        <v>37</v>
      </c>
      <c r="I396" s="197">
        <v>11</v>
      </c>
      <c r="J396" s="197"/>
      <c r="K396" s="197">
        <v>11</v>
      </c>
      <c r="L396" s="282">
        <v>0</v>
      </c>
      <c r="M396" s="282">
        <v>0</v>
      </c>
      <c r="N396" s="282">
        <v>0</v>
      </c>
      <c r="O396" s="282">
        <v>0</v>
      </c>
      <c r="P396" s="282">
        <v>0</v>
      </c>
      <c r="Q396" s="117">
        <f t="shared" si="573"/>
        <v>0</v>
      </c>
      <c r="R396" s="117">
        <f t="shared" si="574"/>
        <v>0</v>
      </c>
      <c r="S396" s="282">
        <v>0</v>
      </c>
      <c r="T396" s="282">
        <v>0</v>
      </c>
      <c r="U396" s="282">
        <v>0</v>
      </c>
    </row>
    <row r="397" spans="1:21" ht="14.25">
      <c r="A397" s="34" t="s">
        <v>219</v>
      </c>
      <c r="B397" s="26" t="s">
        <v>220</v>
      </c>
      <c r="C397" s="84" t="s">
        <v>221</v>
      </c>
      <c r="D397" s="73">
        <f t="shared" ref="D397:U399" si="624">D398</f>
        <v>5685</v>
      </c>
      <c r="E397" s="73">
        <f t="shared" si="624"/>
        <v>5720</v>
      </c>
      <c r="F397" s="73">
        <f t="shared" si="624"/>
        <v>5800</v>
      </c>
      <c r="G397" s="73">
        <f t="shared" si="624"/>
        <v>5800</v>
      </c>
      <c r="H397" s="73">
        <f t="shared" si="624"/>
        <v>5800</v>
      </c>
      <c r="I397" s="73">
        <f t="shared" si="624"/>
        <v>5800</v>
      </c>
      <c r="J397" s="73">
        <f t="shared" si="624"/>
        <v>5800</v>
      </c>
      <c r="K397" s="73">
        <f t="shared" si="624"/>
        <v>5800</v>
      </c>
      <c r="L397" s="292">
        <f t="shared" si="624"/>
        <v>5800</v>
      </c>
      <c r="M397" s="292">
        <f t="shared" si="624"/>
        <v>1500</v>
      </c>
      <c r="N397" s="292">
        <f t="shared" si="624"/>
        <v>1500</v>
      </c>
      <c r="O397" s="292">
        <f t="shared" si="624"/>
        <v>1500</v>
      </c>
      <c r="P397" s="292">
        <f t="shared" si="624"/>
        <v>1300</v>
      </c>
      <c r="Q397" s="117">
        <f t="shared" ref="Q397:Q460" si="625">M397+N397+O397+P397</f>
        <v>5800</v>
      </c>
      <c r="R397" s="117">
        <f t="shared" ref="R397:R460" si="626">L397-Q397</f>
        <v>0</v>
      </c>
      <c r="S397" s="292">
        <f t="shared" si="624"/>
        <v>5800</v>
      </c>
      <c r="T397" s="292">
        <f t="shared" si="624"/>
        <v>5800</v>
      </c>
      <c r="U397" s="292">
        <f t="shared" si="624"/>
        <v>5800</v>
      </c>
    </row>
    <row r="398" spans="1:21" ht="14.25">
      <c r="A398" s="34"/>
      <c r="B398" s="24" t="s">
        <v>153</v>
      </c>
      <c r="C398" s="84"/>
      <c r="D398" s="73">
        <f t="shared" si="624"/>
        <v>5685</v>
      </c>
      <c r="E398" s="73">
        <f t="shared" si="624"/>
        <v>5720</v>
      </c>
      <c r="F398" s="73">
        <f t="shared" si="624"/>
        <v>5800</v>
      </c>
      <c r="G398" s="73">
        <f t="shared" si="624"/>
        <v>5800</v>
      </c>
      <c r="H398" s="73">
        <f t="shared" si="624"/>
        <v>5800</v>
      </c>
      <c r="I398" s="73">
        <f t="shared" si="624"/>
        <v>5800</v>
      </c>
      <c r="J398" s="73">
        <f t="shared" si="624"/>
        <v>5800</v>
      </c>
      <c r="K398" s="73">
        <f t="shared" si="624"/>
        <v>5800</v>
      </c>
      <c r="L398" s="292">
        <f t="shared" si="624"/>
        <v>5800</v>
      </c>
      <c r="M398" s="292">
        <f t="shared" si="624"/>
        <v>1500</v>
      </c>
      <c r="N398" s="292">
        <f t="shared" si="624"/>
        <v>1500</v>
      </c>
      <c r="O398" s="292">
        <f t="shared" si="624"/>
        <v>1500</v>
      </c>
      <c r="P398" s="292">
        <f t="shared" si="624"/>
        <v>1300</v>
      </c>
      <c r="Q398" s="117">
        <f t="shared" si="625"/>
        <v>5800</v>
      </c>
      <c r="R398" s="117">
        <f t="shared" si="626"/>
        <v>0</v>
      </c>
      <c r="S398" s="292">
        <f t="shared" si="624"/>
        <v>5800</v>
      </c>
      <c r="T398" s="292">
        <f t="shared" si="624"/>
        <v>5800</v>
      </c>
      <c r="U398" s="292">
        <f t="shared" si="624"/>
        <v>5800</v>
      </c>
    </row>
    <row r="399" spans="1:21" ht="14.25">
      <c r="A399" s="34"/>
      <c r="B399" s="26" t="s">
        <v>163</v>
      </c>
      <c r="C399" s="84">
        <v>79</v>
      </c>
      <c r="D399" s="73">
        <f t="shared" si="624"/>
        <v>5685</v>
      </c>
      <c r="E399" s="73">
        <f t="shared" si="624"/>
        <v>5720</v>
      </c>
      <c r="F399" s="73">
        <f t="shared" si="624"/>
        <v>5800</v>
      </c>
      <c r="G399" s="73">
        <f t="shared" si="624"/>
        <v>5800</v>
      </c>
      <c r="H399" s="73">
        <f t="shared" si="624"/>
        <v>5800</v>
      </c>
      <c r="I399" s="73">
        <f t="shared" si="624"/>
        <v>5800</v>
      </c>
      <c r="J399" s="73">
        <f t="shared" si="624"/>
        <v>5800</v>
      </c>
      <c r="K399" s="73">
        <f t="shared" si="624"/>
        <v>5800</v>
      </c>
      <c r="L399" s="292">
        <f t="shared" si="624"/>
        <v>5800</v>
      </c>
      <c r="M399" s="292">
        <f t="shared" si="624"/>
        <v>1500</v>
      </c>
      <c r="N399" s="292">
        <f t="shared" si="624"/>
        <v>1500</v>
      </c>
      <c r="O399" s="292">
        <f t="shared" si="624"/>
        <v>1500</v>
      </c>
      <c r="P399" s="292">
        <f t="shared" si="624"/>
        <v>1300</v>
      </c>
      <c r="Q399" s="117">
        <f t="shared" si="625"/>
        <v>5800</v>
      </c>
      <c r="R399" s="117">
        <f t="shared" si="626"/>
        <v>0</v>
      </c>
      <c r="S399" s="292">
        <f t="shared" si="624"/>
        <v>5800</v>
      </c>
      <c r="T399" s="292">
        <f t="shared" si="624"/>
        <v>5800</v>
      </c>
      <c r="U399" s="292">
        <f t="shared" si="624"/>
        <v>5800</v>
      </c>
    </row>
    <row r="400" spans="1:21" ht="14.25">
      <c r="A400" s="34"/>
      <c r="B400" s="26" t="s">
        <v>222</v>
      </c>
      <c r="C400" s="12">
        <v>81</v>
      </c>
      <c r="D400" s="69">
        <f t="shared" ref="D400:U400" si="627">D401+D402</f>
        <v>5685</v>
      </c>
      <c r="E400" s="69">
        <f t="shared" ref="E400:F400" si="628">E401+E402</f>
        <v>5720</v>
      </c>
      <c r="F400" s="69">
        <f t="shared" si="628"/>
        <v>5800</v>
      </c>
      <c r="G400" s="69">
        <f t="shared" si="627"/>
        <v>5800</v>
      </c>
      <c r="H400" s="69">
        <f t="shared" si="627"/>
        <v>5800</v>
      </c>
      <c r="I400" s="69">
        <f t="shared" si="627"/>
        <v>5800</v>
      </c>
      <c r="J400" s="69">
        <f t="shared" si="627"/>
        <v>5800</v>
      </c>
      <c r="K400" s="69">
        <f t="shared" ref="K400:L400" si="629">K401+K402</f>
        <v>5800</v>
      </c>
      <c r="L400" s="283">
        <f t="shared" si="629"/>
        <v>5800</v>
      </c>
      <c r="M400" s="283">
        <f t="shared" ref="M400:P400" si="630">M401+M402</f>
        <v>1500</v>
      </c>
      <c r="N400" s="283">
        <f t="shared" si="630"/>
        <v>1500</v>
      </c>
      <c r="O400" s="283">
        <f t="shared" si="630"/>
        <v>1500</v>
      </c>
      <c r="P400" s="283">
        <f t="shared" si="630"/>
        <v>1300</v>
      </c>
      <c r="Q400" s="117">
        <f t="shared" si="625"/>
        <v>5800</v>
      </c>
      <c r="R400" s="117">
        <f t="shared" si="626"/>
        <v>0</v>
      </c>
      <c r="S400" s="283">
        <f t="shared" si="627"/>
        <v>5800</v>
      </c>
      <c r="T400" s="283">
        <f t="shared" si="627"/>
        <v>5800</v>
      </c>
      <c r="U400" s="283">
        <f t="shared" si="627"/>
        <v>5800</v>
      </c>
    </row>
    <row r="401" spans="1:21" ht="13.5" customHeight="1">
      <c r="A401" s="34"/>
      <c r="B401" s="33" t="s">
        <v>223</v>
      </c>
      <c r="C401" s="12" t="s">
        <v>224</v>
      </c>
      <c r="D401" s="68">
        <v>5685</v>
      </c>
      <c r="E401" s="197">
        <v>5720</v>
      </c>
      <c r="F401" s="68">
        <v>5800</v>
      </c>
      <c r="G401" s="68">
        <v>5800</v>
      </c>
      <c r="H401" s="68">
        <v>5800</v>
      </c>
      <c r="I401" s="197">
        <v>5800</v>
      </c>
      <c r="J401" s="197">
        <v>5800</v>
      </c>
      <c r="K401" s="199">
        <v>5800</v>
      </c>
      <c r="L401" s="282">
        <v>5800</v>
      </c>
      <c r="M401" s="282">
        <v>1500</v>
      </c>
      <c r="N401" s="282">
        <v>1500</v>
      </c>
      <c r="O401" s="282">
        <v>1500</v>
      </c>
      <c r="P401" s="282">
        <v>1300</v>
      </c>
      <c r="Q401" s="117">
        <f t="shared" si="625"/>
        <v>5800</v>
      </c>
      <c r="R401" s="117">
        <f t="shared" si="626"/>
        <v>0</v>
      </c>
      <c r="S401" s="282">
        <v>5800</v>
      </c>
      <c r="T401" s="282">
        <v>5800</v>
      </c>
      <c r="U401" s="282">
        <v>5800</v>
      </c>
    </row>
    <row r="402" spans="1:21" ht="13.5" hidden="1" customHeight="1">
      <c r="A402" s="34"/>
      <c r="B402" s="33" t="s">
        <v>225</v>
      </c>
      <c r="C402" s="12" t="s">
        <v>226</v>
      </c>
      <c r="D402" s="127"/>
      <c r="E402" s="197"/>
      <c r="F402" s="127"/>
      <c r="G402" s="127"/>
      <c r="H402" s="127"/>
      <c r="I402" s="197"/>
      <c r="J402" s="197"/>
      <c r="K402" s="197"/>
      <c r="L402" s="282"/>
      <c r="M402" s="282"/>
      <c r="N402" s="282"/>
      <c r="O402" s="282"/>
      <c r="P402" s="282"/>
      <c r="Q402" s="117">
        <f t="shared" si="625"/>
        <v>0</v>
      </c>
      <c r="R402" s="117">
        <f t="shared" si="626"/>
        <v>0</v>
      </c>
      <c r="S402" s="282"/>
      <c r="T402" s="282"/>
      <c r="U402" s="282"/>
    </row>
    <row r="403" spans="1:21" ht="17.25" hidden="1" customHeight="1">
      <c r="A403" s="34" t="s">
        <v>227</v>
      </c>
      <c r="B403" s="26" t="s">
        <v>228</v>
      </c>
      <c r="C403" s="12"/>
      <c r="D403" s="68"/>
      <c r="E403" s="197"/>
      <c r="F403" s="68"/>
      <c r="G403" s="68"/>
      <c r="H403" s="68"/>
      <c r="I403" s="197"/>
      <c r="J403" s="197"/>
      <c r="K403" s="197"/>
      <c r="L403" s="282"/>
      <c r="M403" s="282"/>
      <c r="N403" s="282"/>
      <c r="O403" s="282"/>
      <c r="P403" s="282"/>
      <c r="Q403" s="117">
        <f t="shared" si="625"/>
        <v>0</v>
      </c>
      <c r="R403" s="117">
        <f t="shared" si="626"/>
        <v>0</v>
      </c>
      <c r="S403" s="282"/>
      <c r="T403" s="282"/>
      <c r="U403" s="282"/>
    </row>
    <row r="404" spans="1:21" ht="18.75" hidden="1" customHeight="1">
      <c r="A404" s="34"/>
      <c r="B404" s="33" t="s">
        <v>155</v>
      </c>
      <c r="C404" s="12"/>
      <c r="D404" s="68"/>
      <c r="E404" s="197"/>
      <c r="F404" s="68"/>
      <c r="G404" s="68"/>
      <c r="H404" s="68"/>
      <c r="I404" s="197"/>
      <c r="J404" s="197"/>
      <c r="K404" s="197"/>
      <c r="L404" s="282"/>
      <c r="M404" s="282"/>
      <c r="N404" s="282"/>
      <c r="O404" s="282"/>
      <c r="P404" s="282"/>
      <c r="Q404" s="117">
        <f t="shared" si="625"/>
        <v>0</v>
      </c>
      <c r="R404" s="117">
        <f t="shared" si="626"/>
        <v>0</v>
      </c>
      <c r="S404" s="282"/>
      <c r="T404" s="282"/>
      <c r="U404" s="282"/>
    </row>
    <row r="405" spans="1:21" ht="18.75" hidden="1" customHeight="1">
      <c r="A405" s="34"/>
      <c r="B405" s="33" t="s">
        <v>156</v>
      </c>
      <c r="C405" s="12"/>
      <c r="D405" s="68"/>
      <c r="E405" s="197"/>
      <c r="F405" s="68"/>
      <c r="G405" s="68"/>
      <c r="H405" s="68"/>
      <c r="I405" s="197"/>
      <c r="J405" s="197"/>
      <c r="K405" s="197"/>
      <c r="L405" s="282"/>
      <c r="M405" s="282"/>
      <c r="N405" s="282"/>
      <c r="O405" s="282"/>
      <c r="P405" s="282"/>
      <c r="Q405" s="117">
        <f t="shared" si="625"/>
        <v>0</v>
      </c>
      <c r="R405" s="117">
        <f t="shared" si="626"/>
        <v>0</v>
      </c>
      <c r="S405" s="282"/>
      <c r="T405" s="282"/>
      <c r="U405" s="282"/>
    </row>
    <row r="406" spans="1:21" ht="18.75" hidden="1" customHeight="1">
      <c r="A406" s="34"/>
      <c r="B406" s="26" t="s">
        <v>229</v>
      </c>
      <c r="C406" s="12"/>
      <c r="D406" s="68"/>
      <c r="E406" s="197"/>
      <c r="F406" s="68"/>
      <c r="G406" s="68"/>
      <c r="H406" s="68"/>
      <c r="I406" s="197"/>
      <c r="J406" s="197"/>
      <c r="K406" s="197"/>
      <c r="L406" s="282"/>
      <c r="M406" s="282"/>
      <c r="N406" s="282"/>
      <c r="O406" s="282"/>
      <c r="P406" s="282"/>
      <c r="Q406" s="117">
        <f t="shared" si="625"/>
        <v>0</v>
      </c>
      <c r="R406" s="117">
        <f t="shared" si="626"/>
        <v>0</v>
      </c>
      <c r="S406" s="282"/>
      <c r="T406" s="282"/>
      <c r="U406" s="282"/>
    </row>
    <row r="407" spans="1:21" ht="29.25" hidden="1" customHeight="1">
      <c r="A407" s="34" t="s">
        <v>230</v>
      </c>
      <c r="B407" s="31" t="s">
        <v>231</v>
      </c>
      <c r="C407" s="84" t="s">
        <v>221</v>
      </c>
      <c r="D407" s="66"/>
      <c r="E407" s="197"/>
      <c r="F407" s="66"/>
      <c r="G407" s="66"/>
      <c r="H407" s="66"/>
      <c r="I407" s="197"/>
      <c r="J407" s="197"/>
      <c r="K407" s="197"/>
      <c r="L407" s="282"/>
      <c r="M407" s="282"/>
      <c r="N407" s="282"/>
      <c r="O407" s="282"/>
      <c r="P407" s="282"/>
      <c r="Q407" s="117">
        <f t="shared" si="625"/>
        <v>0</v>
      </c>
      <c r="R407" s="117">
        <f t="shared" si="626"/>
        <v>0</v>
      </c>
      <c r="S407" s="282"/>
      <c r="T407" s="282"/>
      <c r="U407" s="282"/>
    </row>
    <row r="408" spans="1:21" ht="13.5" hidden="1" customHeight="1">
      <c r="A408" s="34"/>
      <c r="B408" s="24" t="s">
        <v>153</v>
      </c>
      <c r="C408" s="12"/>
      <c r="D408" s="66"/>
      <c r="E408" s="197"/>
      <c r="F408" s="66"/>
      <c r="G408" s="66"/>
      <c r="H408" s="66"/>
      <c r="I408" s="197"/>
      <c r="J408" s="197"/>
      <c r="K408" s="197"/>
      <c r="L408" s="282"/>
      <c r="M408" s="282"/>
      <c r="N408" s="282"/>
      <c r="O408" s="282"/>
      <c r="P408" s="282"/>
      <c r="Q408" s="117">
        <f t="shared" si="625"/>
        <v>0</v>
      </c>
      <c r="R408" s="117">
        <f t="shared" si="626"/>
        <v>0</v>
      </c>
      <c r="S408" s="282"/>
      <c r="T408" s="282"/>
      <c r="U408" s="282"/>
    </row>
    <row r="409" spans="1:21" ht="19.5" hidden="1" customHeight="1">
      <c r="A409" s="34"/>
      <c r="B409" s="33" t="s">
        <v>154</v>
      </c>
      <c r="C409" s="12">
        <v>1</v>
      </c>
      <c r="D409" s="66"/>
      <c r="E409" s="197"/>
      <c r="F409" s="66"/>
      <c r="G409" s="66"/>
      <c r="H409" s="66"/>
      <c r="I409" s="197"/>
      <c r="J409" s="197"/>
      <c r="K409" s="197"/>
      <c r="L409" s="282"/>
      <c r="M409" s="282"/>
      <c r="N409" s="282"/>
      <c r="O409" s="282"/>
      <c r="P409" s="282"/>
      <c r="Q409" s="117">
        <f t="shared" si="625"/>
        <v>0</v>
      </c>
      <c r="R409" s="117">
        <f t="shared" si="626"/>
        <v>0</v>
      </c>
      <c r="S409" s="282"/>
      <c r="T409" s="282"/>
      <c r="U409" s="282"/>
    </row>
    <row r="410" spans="1:21" ht="15.75" hidden="1" customHeight="1">
      <c r="A410" s="34"/>
      <c r="B410" s="51" t="s">
        <v>232</v>
      </c>
      <c r="C410" s="12" t="s">
        <v>233</v>
      </c>
      <c r="D410" s="68"/>
      <c r="E410" s="197"/>
      <c r="F410" s="68"/>
      <c r="G410" s="68"/>
      <c r="H410" s="68"/>
      <c r="I410" s="197"/>
      <c r="J410" s="197"/>
      <c r="K410" s="197"/>
      <c r="L410" s="282"/>
      <c r="M410" s="282"/>
      <c r="N410" s="282"/>
      <c r="O410" s="282"/>
      <c r="P410" s="282"/>
      <c r="Q410" s="117">
        <f t="shared" si="625"/>
        <v>0</v>
      </c>
      <c r="R410" s="117">
        <f t="shared" si="626"/>
        <v>0</v>
      </c>
      <c r="S410" s="282"/>
      <c r="T410" s="282"/>
      <c r="U410" s="282"/>
    </row>
    <row r="411" spans="1:21" ht="15" customHeight="1">
      <c r="A411" s="34">
        <v>3</v>
      </c>
      <c r="B411" s="186" t="s">
        <v>234</v>
      </c>
      <c r="C411" s="184" t="s">
        <v>235</v>
      </c>
      <c r="D411" s="185">
        <f t="shared" ref="D411:U411" si="631">D413</f>
        <v>1146</v>
      </c>
      <c r="E411" s="185">
        <f t="shared" ref="E411:F411" si="632">E413</f>
        <v>858</v>
      </c>
      <c r="F411" s="185">
        <f t="shared" si="632"/>
        <v>1313</v>
      </c>
      <c r="G411" s="185">
        <f t="shared" si="631"/>
        <v>1313</v>
      </c>
      <c r="H411" s="185">
        <f t="shared" si="631"/>
        <v>1313</v>
      </c>
      <c r="I411" s="185">
        <f t="shared" si="631"/>
        <v>1113</v>
      </c>
      <c r="J411" s="185">
        <f t="shared" si="631"/>
        <v>1113</v>
      </c>
      <c r="K411" s="185">
        <f t="shared" ref="K411:L411" si="633">K413</f>
        <v>1113</v>
      </c>
      <c r="L411" s="299">
        <f t="shared" si="633"/>
        <v>1012</v>
      </c>
      <c r="M411" s="299">
        <f t="shared" ref="M411:P411" si="634">M413</f>
        <v>325</v>
      </c>
      <c r="N411" s="299">
        <f t="shared" si="634"/>
        <v>250</v>
      </c>
      <c r="O411" s="299">
        <f t="shared" si="634"/>
        <v>250</v>
      </c>
      <c r="P411" s="299">
        <f t="shared" si="634"/>
        <v>187</v>
      </c>
      <c r="Q411" s="117">
        <f t="shared" si="625"/>
        <v>1012</v>
      </c>
      <c r="R411" s="117">
        <f t="shared" si="626"/>
        <v>0</v>
      </c>
      <c r="S411" s="299">
        <f t="shared" si="631"/>
        <v>910</v>
      </c>
      <c r="T411" s="299">
        <f t="shared" si="631"/>
        <v>808</v>
      </c>
      <c r="U411" s="299">
        <f t="shared" si="631"/>
        <v>706</v>
      </c>
    </row>
    <row r="412" spans="1:21" ht="14.25">
      <c r="A412" s="34"/>
      <c r="B412" s="24" t="s">
        <v>153</v>
      </c>
      <c r="C412" s="84"/>
      <c r="D412" s="73">
        <f t="shared" ref="D412:U412" si="635">D413</f>
        <v>1146</v>
      </c>
      <c r="E412" s="73">
        <f t="shared" si="635"/>
        <v>858</v>
      </c>
      <c r="F412" s="73">
        <f t="shared" si="635"/>
        <v>1313</v>
      </c>
      <c r="G412" s="73">
        <f t="shared" si="635"/>
        <v>1313</v>
      </c>
      <c r="H412" s="73">
        <f t="shared" si="635"/>
        <v>1313</v>
      </c>
      <c r="I412" s="73">
        <f t="shared" si="635"/>
        <v>1113</v>
      </c>
      <c r="J412" s="73">
        <f t="shared" si="635"/>
        <v>1113</v>
      </c>
      <c r="K412" s="73">
        <f t="shared" si="635"/>
        <v>1113</v>
      </c>
      <c r="L412" s="292">
        <f t="shared" si="635"/>
        <v>1012</v>
      </c>
      <c r="M412" s="292">
        <f t="shared" si="635"/>
        <v>325</v>
      </c>
      <c r="N412" s="292">
        <f t="shared" si="635"/>
        <v>250</v>
      </c>
      <c r="O412" s="292">
        <f t="shared" si="635"/>
        <v>250</v>
      </c>
      <c r="P412" s="292">
        <f t="shared" si="635"/>
        <v>187</v>
      </c>
      <c r="Q412" s="117">
        <f t="shared" si="625"/>
        <v>1012</v>
      </c>
      <c r="R412" s="117">
        <f t="shared" si="626"/>
        <v>0</v>
      </c>
      <c r="S412" s="292">
        <f t="shared" si="635"/>
        <v>910</v>
      </c>
      <c r="T412" s="292">
        <f t="shared" si="635"/>
        <v>808</v>
      </c>
      <c r="U412" s="292">
        <f t="shared" si="635"/>
        <v>706</v>
      </c>
    </row>
    <row r="413" spans="1:21" ht="16.5" customHeight="1">
      <c r="A413" s="34"/>
      <c r="B413" s="33" t="s">
        <v>154</v>
      </c>
      <c r="C413" s="84">
        <v>1</v>
      </c>
      <c r="D413" s="73">
        <f t="shared" ref="D413:U413" si="636">D415+D414</f>
        <v>1146</v>
      </c>
      <c r="E413" s="73">
        <f t="shared" ref="E413:F413" si="637">E415+E414</f>
        <v>858</v>
      </c>
      <c r="F413" s="73">
        <f t="shared" si="637"/>
        <v>1313</v>
      </c>
      <c r="G413" s="73">
        <f t="shared" si="636"/>
        <v>1313</v>
      </c>
      <c r="H413" s="73">
        <f t="shared" si="636"/>
        <v>1313</v>
      </c>
      <c r="I413" s="73">
        <f t="shared" si="636"/>
        <v>1113</v>
      </c>
      <c r="J413" s="73">
        <f t="shared" si="636"/>
        <v>1113</v>
      </c>
      <c r="K413" s="73">
        <f t="shared" ref="K413:L413" si="638">K415+K414</f>
        <v>1113</v>
      </c>
      <c r="L413" s="292">
        <f t="shared" si="638"/>
        <v>1012</v>
      </c>
      <c r="M413" s="292">
        <f t="shared" ref="M413:P413" si="639">M415+M414</f>
        <v>325</v>
      </c>
      <c r="N413" s="292">
        <f t="shared" si="639"/>
        <v>250</v>
      </c>
      <c r="O413" s="292">
        <f t="shared" si="639"/>
        <v>250</v>
      </c>
      <c r="P413" s="292">
        <f t="shared" si="639"/>
        <v>187</v>
      </c>
      <c r="Q413" s="117">
        <f t="shared" si="625"/>
        <v>1012</v>
      </c>
      <c r="R413" s="117">
        <f t="shared" si="626"/>
        <v>0</v>
      </c>
      <c r="S413" s="292">
        <f t="shared" si="636"/>
        <v>910</v>
      </c>
      <c r="T413" s="292">
        <f t="shared" si="636"/>
        <v>808</v>
      </c>
      <c r="U413" s="292">
        <f t="shared" si="636"/>
        <v>706</v>
      </c>
    </row>
    <row r="414" spans="1:21" ht="14.25" customHeight="1">
      <c r="A414" s="34"/>
      <c r="B414" s="33" t="s">
        <v>588</v>
      </c>
      <c r="C414" s="84" t="s">
        <v>236</v>
      </c>
      <c r="D414" s="68">
        <v>17</v>
      </c>
      <c r="E414" s="197">
        <v>11</v>
      </c>
      <c r="F414" s="68">
        <v>13</v>
      </c>
      <c r="G414" s="68">
        <v>13</v>
      </c>
      <c r="H414" s="68">
        <v>13</v>
      </c>
      <c r="I414" s="197">
        <v>13</v>
      </c>
      <c r="J414" s="197">
        <v>13</v>
      </c>
      <c r="K414" s="199">
        <v>13</v>
      </c>
      <c r="L414" s="282">
        <v>12</v>
      </c>
      <c r="M414" s="282"/>
      <c r="N414" s="282"/>
      <c r="O414" s="282"/>
      <c r="P414" s="282">
        <v>12</v>
      </c>
      <c r="Q414" s="117">
        <f t="shared" si="625"/>
        <v>12</v>
      </c>
      <c r="R414" s="117">
        <f t="shared" si="626"/>
        <v>0</v>
      </c>
      <c r="S414" s="282">
        <v>10</v>
      </c>
      <c r="T414" s="282">
        <v>8</v>
      </c>
      <c r="U414" s="282">
        <v>6</v>
      </c>
    </row>
    <row r="415" spans="1:21" ht="18" customHeight="1">
      <c r="A415" s="34"/>
      <c r="B415" s="33" t="s">
        <v>237</v>
      </c>
      <c r="C415" s="12">
        <v>30</v>
      </c>
      <c r="D415" s="69">
        <f t="shared" ref="D415:U415" si="640">D416+D417</f>
        <v>1129</v>
      </c>
      <c r="E415" s="69">
        <f t="shared" ref="E415:F415" si="641">E416+E417</f>
        <v>847</v>
      </c>
      <c r="F415" s="69">
        <f t="shared" si="641"/>
        <v>1300</v>
      </c>
      <c r="G415" s="69">
        <f t="shared" si="640"/>
        <v>1300</v>
      </c>
      <c r="H415" s="69">
        <f t="shared" si="640"/>
        <v>1300</v>
      </c>
      <c r="I415" s="69">
        <f t="shared" si="640"/>
        <v>1100</v>
      </c>
      <c r="J415" s="69">
        <f t="shared" si="640"/>
        <v>1100</v>
      </c>
      <c r="K415" s="69">
        <f t="shared" ref="K415:L415" si="642">K416+K417</f>
        <v>1100</v>
      </c>
      <c r="L415" s="283">
        <f t="shared" si="642"/>
        <v>1000</v>
      </c>
      <c r="M415" s="283">
        <f t="shared" ref="M415:P415" si="643">M416+M417</f>
        <v>325</v>
      </c>
      <c r="N415" s="283">
        <f t="shared" si="643"/>
        <v>250</v>
      </c>
      <c r="O415" s="283">
        <f t="shared" si="643"/>
        <v>250</v>
      </c>
      <c r="P415" s="283">
        <f t="shared" si="643"/>
        <v>175</v>
      </c>
      <c r="Q415" s="117">
        <f t="shared" si="625"/>
        <v>1000</v>
      </c>
      <c r="R415" s="117">
        <f t="shared" si="626"/>
        <v>0</v>
      </c>
      <c r="S415" s="283">
        <f t="shared" si="640"/>
        <v>900</v>
      </c>
      <c r="T415" s="283">
        <f t="shared" si="640"/>
        <v>800</v>
      </c>
      <c r="U415" s="283">
        <f t="shared" si="640"/>
        <v>700</v>
      </c>
    </row>
    <row r="416" spans="1:21" ht="15.75" customHeight="1">
      <c r="A416" s="34"/>
      <c r="B416" s="33" t="s">
        <v>238</v>
      </c>
      <c r="C416" s="84" t="s">
        <v>239</v>
      </c>
      <c r="D416" s="68">
        <v>1129</v>
      </c>
      <c r="E416" s="197">
        <v>847</v>
      </c>
      <c r="F416" s="68">
        <v>1300</v>
      </c>
      <c r="G416" s="68">
        <v>1300</v>
      </c>
      <c r="H416" s="68">
        <v>1300</v>
      </c>
      <c r="I416" s="197">
        <v>1100</v>
      </c>
      <c r="J416" s="197">
        <v>1100</v>
      </c>
      <c r="K416" s="199">
        <v>1100</v>
      </c>
      <c r="L416" s="282">
        <v>1000</v>
      </c>
      <c r="M416" s="282">
        <v>325</v>
      </c>
      <c r="N416" s="282">
        <v>250</v>
      </c>
      <c r="O416" s="282">
        <v>250</v>
      </c>
      <c r="P416" s="282">
        <f>250-75</f>
        <v>175</v>
      </c>
      <c r="Q416" s="117">
        <f t="shared" si="625"/>
        <v>1000</v>
      </c>
      <c r="R416" s="117">
        <f t="shared" si="626"/>
        <v>0</v>
      </c>
      <c r="S416" s="282">
        <v>900</v>
      </c>
      <c r="T416" s="282">
        <v>800</v>
      </c>
      <c r="U416" s="282">
        <v>700</v>
      </c>
    </row>
    <row r="417" spans="1:21" ht="0.75" customHeight="1">
      <c r="A417" s="34"/>
      <c r="B417" s="33" t="s">
        <v>240</v>
      </c>
      <c r="C417" s="84" t="s">
        <v>45</v>
      </c>
      <c r="D417" s="68"/>
      <c r="E417" s="197"/>
      <c r="F417" s="68"/>
      <c r="G417" s="68"/>
      <c r="H417" s="68"/>
      <c r="I417" s="197"/>
      <c r="J417" s="197"/>
      <c r="K417" s="197"/>
      <c r="L417" s="282"/>
      <c r="M417" s="282"/>
      <c r="N417" s="282"/>
      <c r="O417" s="282"/>
      <c r="P417" s="282"/>
      <c r="Q417" s="117">
        <f t="shared" si="625"/>
        <v>0</v>
      </c>
      <c r="R417" s="117">
        <f t="shared" si="626"/>
        <v>0</v>
      </c>
      <c r="S417" s="282"/>
      <c r="T417" s="282"/>
      <c r="U417" s="282"/>
    </row>
    <row r="418" spans="1:21" ht="27.75" customHeight="1">
      <c r="A418" s="42" t="s">
        <v>4</v>
      </c>
      <c r="B418" s="43" t="s">
        <v>593</v>
      </c>
      <c r="C418" s="88">
        <v>59.02</v>
      </c>
      <c r="D418" s="76">
        <f t="shared" ref="D418:U418" si="644">D426+D442</f>
        <v>1637</v>
      </c>
      <c r="E418" s="76">
        <f t="shared" ref="E418:F418" si="645">E426+E442</f>
        <v>1378.22</v>
      </c>
      <c r="F418" s="76">
        <f t="shared" si="645"/>
        <v>1841</v>
      </c>
      <c r="G418" s="76">
        <f t="shared" si="644"/>
        <v>1525</v>
      </c>
      <c r="H418" s="76">
        <f t="shared" si="644"/>
        <v>1841</v>
      </c>
      <c r="I418" s="76">
        <f t="shared" si="644"/>
        <v>2718</v>
      </c>
      <c r="J418" s="76">
        <f t="shared" si="644"/>
        <v>1536</v>
      </c>
      <c r="K418" s="76">
        <f t="shared" ref="K418:L418" si="646">K426+K442</f>
        <v>2748</v>
      </c>
      <c r="L418" s="300">
        <f t="shared" si="646"/>
        <v>1586</v>
      </c>
      <c r="M418" s="300">
        <f t="shared" ref="M418:P418" si="647">M426+M442</f>
        <v>666</v>
      </c>
      <c r="N418" s="300">
        <f t="shared" si="647"/>
        <v>325</v>
      </c>
      <c r="O418" s="300">
        <f t="shared" si="647"/>
        <v>325</v>
      </c>
      <c r="P418" s="300">
        <f t="shared" si="647"/>
        <v>270</v>
      </c>
      <c r="Q418" s="117">
        <f t="shared" si="625"/>
        <v>1586</v>
      </c>
      <c r="R418" s="117">
        <f t="shared" si="626"/>
        <v>0</v>
      </c>
      <c r="S418" s="300">
        <f t="shared" si="644"/>
        <v>1270</v>
      </c>
      <c r="T418" s="300">
        <f t="shared" si="644"/>
        <v>1270</v>
      </c>
      <c r="U418" s="300">
        <f t="shared" si="644"/>
        <v>1270</v>
      </c>
    </row>
    <row r="419" spans="1:21" ht="16.5" customHeight="1">
      <c r="A419" s="44"/>
      <c r="B419" s="24" t="s">
        <v>153</v>
      </c>
      <c r="C419" s="89"/>
      <c r="D419" s="76">
        <f t="shared" ref="D419:U420" si="648">D428+D437+D444</f>
        <v>1422</v>
      </c>
      <c r="E419" s="76">
        <f t="shared" ref="E419:F419" si="649">E428+E437+E444</f>
        <v>1354.22</v>
      </c>
      <c r="F419" s="76">
        <f t="shared" si="649"/>
        <v>1500</v>
      </c>
      <c r="G419" s="76">
        <f t="shared" si="648"/>
        <v>1500</v>
      </c>
      <c r="H419" s="76">
        <f t="shared" si="648"/>
        <v>1500</v>
      </c>
      <c r="I419" s="76">
        <f t="shared" si="648"/>
        <v>1903</v>
      </c>
      <c r="J419" s="76">
        <f t="shared" si="648"/>
        <v>1220</v>
      </c>
      <c r="K419" s="76">
        <f t="shared" ref="K419:L419" si="650">K428+K437+K444</f>
        <v>1933</v>
      </c>
      <c r="L419" s="300">
        <f t="shared" si="650"/>
        <v>1270</v>
      </c>
      <c r="M419" s="300">
        <f t="shared" ref="M419:P419" si="651">M428+M437+M444</f>
        <v>350</v>
      </c>
      <c r="N419" s="300">
        <f t="shared" si="651"/>
        <v>325</v>
      </c>
      <c r="O419" s="300">
        <f t="shared" si="651"/>
        <v>325</v>
      </c>
      <c r="P419" s="300">
        <f t="shared" si="651"/>
        <v>270</v>
      </c>
      <c r="Q419" s="117">
        <f t="shared" si="625"/>
        <v>1270</v>
      </c>
      <c r="R419" s="117">
        <f t="shared" si="626"/>
        <v>0</v>
      </c>
      <c r="S419" s="300">
        <f t="shared" si="648"/>
        <v>1270</v>
      </c>
      <c r="T419" s="300">
        <f t="shared" si="648"/>
        <v>1270</v>
      </c>
      <c r="U419" s="300">
        <f t="shared" si="648"/>
        <v>1270</v>
      </c>
    </row>
    <row r="420" spans="1:21" ht="15">
      <c r="A420" s="34"/>
      <c r="B420" s="33" t="s">
        <v>154</v>
      </c>
      <c r="C420" s="84">
        <v>0.01</v>
      </c>
      <c r="D420" s="69">
        <f t="shared" si="648"/>
        <v>1422</v>
      </c>
      <c r="E420" s="69">
        <f t="shared" ref="E420:F420" si="652">E429+E438+E445</f>
        <v>1354.22</v>
      </c>
      <c r="F420" s="69">
        <f t="shared" si="652"/>
        <v>1500</v>
      </c>
      <c r="G420" s="69">
        <f t="shared" si="648"/>
        <v>1500</v>
      </c>
      <c r="H420" s="69">
        <f t="shared" si="648"/>
        <v>1500</v>
      </c>
      <c r="I420" s="69">
        <f t="shared" si="648"/>
        <v>1903</v>
      </c>
      <c r="J420" s="69">
        <f t="shared" si="648"/>
        <v>1220</v>
      </c>
      <c r="K420" s="69">
        <f t="shared" ref="K420:L420" si="653">K429+K438+K445</f>
        <v>1933</v>
      </c>
      <c r="L420" s="283">
        <f t="shared" si="653"/>
        <v>1270</v>
      </c>
      <c r="M420" s="283">
        <f t="shared" ref="M420:P420" si="654">M429+M438+M445</f>
        <v>350</v>
      </c>
      <c r="N420" s="283">
        <f t="shared" si="654"/>
        <v>325</v>
      </c>
      <c r="O420" s="283">
        <f t="shared" si="654"/>
        <v>325</v>
      </c>
      <c r="P420" s="283">
        <f t="shared" si="654"/>
        <v>270</v>
      </c>
      <c r="Q420" s="117">
        <f t="shared" si="625"/>
        <v>1270</v>
      </c>
      <c r="R420" s="117">
        <f t="shared" si="626"/>
        <v>0</v>
      </c>
      <c r="S420" s="283">
        <f t="shared" si="648"/>
        <v>1270</v>
      </c>
      <c r="T420" s="283">
        <f t="shared" si="648"/>
        <v>1270</v>
      </c>
      <c r="U420" s="283">
        <f t="shared" si="648"/>
        <v>1270</v>
      </c>
    </row>
    <row r="421" spans="1:21" ht="15">
      <c r="A421" s="34"/>
      <c r="B421" s="33" t="s">
        <v>155</v>
      </c>
      <c r="C421" s="12">
        <v>10</v>
      </c>
      <c r="D421" s="69">
        <f t="shared" ref="D421:U421" si="655">D446</f>
        <v>0</v>
      </c>
      <c r="E421" s="69">
        <f t="shared" ref="E421:F421" si="656">E446</f>
        <v>0</v>
      </c>
      <c r="F421" s="69">
        <f t="shared" si="656"/>
        <v>0</v>
      </c>
      <c r="G421" s="69">
        <f t="shared" si="655"/>
        <v>0</v>
      </c>
      <c r="H421" s="69">
        <f t="shared" si="655"/>
        <v>0</v>
      </c>
      <c r="I421" s="69">
        <f t="shared" si="655"/>
        <v>0</v>
      </c>
      <c r="J421" s="69">
        <f t="shared" si="655"/>
        <v>0</v>
      </c>
      <c r="K421" s="69">
        <f t="shared" ref="K421:L421" si="657">K446</f>
        <v>0</v>
      </c>
      <c r="L421" s="283">
        <f t="shared" si="657"/>
        <v>0</v>
      </c>
      <c r="M421" s="283">
        <f t="shared" ref="M421:P421" si="658">M446</f>
        <v>0</v>
      </c>
      <c r="N421" s="283">
        <f t="shared" si="658"/>
        <v>0</v>
      </c>
      <c r="O421" s="283">
        <f t="shared" si="658"/>
        <v>0</v>
      </c>
      <c r="P421" s="283">
        <f t="shared" si="658"/>
        <v>0</v>
      </c>
      <c r="Q421" s="117">
        <f t="shared" si="625"/>
        <v>0</v>
      </c>
      <c r="R421" s="117">
        <f t="shared" si="626"/>
        <v>0</v>
      </c>
      <c r="S421" s="283">
        <f t="shared" si="655"/>
        <v>0</v>
      </c>
      <c r="T421" s="283">
        <f t="shared" si="655"/>
        <v>0</v>
      </c>
      <c r="U421" s="283">
        <f t="shared" si="655"/>
        <v>0</v>
      </c>
    </row>
    <row r="422" spans="1:21" ht="15">
      <c r="A422" s="34"/>
      <c r="B422" s="33" t="s">
        <v>588</v>
      </c>
      <c r="C422" s="12">
        <v>20</v>
      </c>
      <c r="D422" s="69">
        <f t="shared" ref="D422:U422" si="659">D430+D439+D447</f>
        <v>1422</v>
      </c>
      <c r="E422" s="69">
        <f t="shared" ref="E422:F422" si="660">E430+E439+E447</f>
        <v>1354.22</v>
      </c>
      <c r="F422" s="69">
        <f t="shared" si="660"/>
        <v>1500</v>
      </c>
      <c r="G422" s="69">
        <f t="shared" si="659"/>
        <v>1500</v>
      </c>
      <c r="H422" s="69">
        <f t="shared" si="659"/>
        <v>1500</v>
      </c>
      <c r="I422" s="69">
        <f t="shared" si="659"/>
        <v>1903</v>
      </c>
      <c r="J422" s="69">
        <f t="shared" si="659"/>
        <v>1220</v>
      </c>
      <c r="K422" s="69">
        <f t="shared" ref="K422:L422" si="661">K430+K439+K447</f>
        <v>1933</v>
      </c>
      <c r="L422" s="283">
        <f t="shared" si="661"/>
        <v>1270</v>
      </c>
      <c r="M422" s="283">
        <f t="shared" ref="M422:P422" si="662">M430+M439+M447</f>
        <v>350</v>
      </c>
      <c r="N422" s="283">
        <f t="shared" si="662"/>
        <v>325</v>
      </c>
      <c r="O422" s="283">
        <f t="shared" si="662"/>
        <v>325</v>
      </c>
      <c r="P422" s="283">
        <f t="shared" si="662"/>
        <v>270</v>
      </c>
      <c r="Q422" s="117">
        <f t="shared" si="625"/>
        <v>1270</v>
      </c>
      <c r="R422" s="117">
        <f t="shared" si="626"/>
        <v>0</v>
      </c>
      <c r="S422" s="283">
        <f t="shared" si="659"/>
        <v>1270</v>
      </c>
      <c r="T422" s="283">
        <f t="shared" si="659"/>
        <v>1270</v>
      </c>
      <c r="U422" s="283">
        <f t="shared" si="659"/>
        <v>1270</v>
      </c>
    </row>
    <row r="423" spans="1:21" ht="15">
      <c r="A423" s="34"/>
      <c r="B423" s="33" t="s">
        <v>241</v>
      </c>
      <c r="C423" s="12" t="s">
        <v>242</v>
      </c>
      <c r="D423" s="69">
        <f t="shared" ref="D423:U423" si="663">D448</f>
        <v>0</v>
      </c>
      <c r="E423" s="69">
        <f t="shared" ref="E423:F423" si="664">E448</f>
        <v>0</v>
      </c>
      <c r="F423" s="69">
        <f t="shared" si="664"/>
        <v>0</v>
      </c>
      <c r="G423" s="69">
        <f t="shared" si="663"/>
        <v>0</v>
      </c>
      <c r="H423" s="69">
        <f t="shared" si="663"/>
        <v>0</v>
      </c>
      <c r="I423" s="69">
        <f t="shared" si="663"/>
        <v>0</v>
      </c>
      <c r="J423" s="69">
        <f t="shared" si="663"/>
        <v>0</v>
      </c>
      <c r="K423" s="69">
        <f t="shared" ref="K423:L423" si="665">K448</f>
        <v>0</v>
      </c>
      <c r="L423" s="283">
        <f t="shared" si="665"/>
        <v>0</v>
      </c>
      <c r="M423" s="283">
        <f t="shared" ref="M423:P423" si="666">M448</f>
        <v>0</v>
      </c>
      <c r="N423" s="283">
        <f t="shared" si="666"/>
        <v>0</v>
      </c>
      <c r="O423" s="283">
        <f t="shared" si="666"/>
        <v>0</v>
      </c>
      <c r="P423" s="283">
        <f t="shared" si="666"/>
        <v>0</v>
      </c>
      <c r="Q423" s="117">
        <f t="shared" si="625"/>
        <v>0</v>
      </c>
      <c r="R423" s="117">
        <f t="shared" si="626"/>
        <v>0</v>
      </c>
      <c r="S423" s="283">
        <f t="shared" si="663"/>
        <v>0</v>
      </c>
      <c r="T423" s="283">
        <f t="shared" si="663"/>
        <v>0</v>
      </c>
      <c r="U423" s="283">
        <f t="shared" si="663"/>
        <v>0</v>
      </c>
    </row>
    <row r="424" spans="1:21" ht="14.25">
      <c r="A424" s="34"/>
      <c r="B424" s="26" t="s">
        <v>165</v>
      </c>
      <c r="C424" s="12"/>
      <c r="D424" s="73">
        <f t="shared" ref="D424:U425" si="667">D431+D449</f>
        <v>215</v>
      </c>
      <c r="E424" s="73">
        <f t="shared" ref="E424:F424" si="668">E431+E449</f>
        <v>24</v>
      </c>
      <c r="F424" s="73">
        <f t="shared" si="668"/>
        <v>341</v>
      </c>
      <c r="G424" s="73">
        <f t="shared" si="667"/>
        <v>25</v>
      </c>
      <c r="H424" s="73">
        <f t="shared" si="667"/>
        <v>341</v>
      </c>
      <c r="I424" s="73">
        <f t="shared" si="667"/>
        <v>759</v>
      </c>
      <c r="J424" s="73">
        <f t="shared" si="667"/>
        <v>316</v>
      </c>
      <c r="K424" s="73">
        <f t="shared" ref="K424:L424" si="669">K431+K449</f>
        <v>759</v>
      </c>
      <c r="L424" s="292">
        <f t="shared" si="669"/>
        <v>316</v>
      </c>
      <c r="M424" s="292">
        <f t="shared" ref="M424:P424" si="670">M431+M449</f>
        <v>316</v>
      </c>
      <c r="N424" s="292">
        <f t="shared" si="670"/>
        <v>0</v>
      </c>
      <c r="O424" s="292">
        <f t="shared" si="670"/>
        <v>0</v>
      </c>
      <c r="P424" s="292">
        <f t="shared" si="670"/>
        <v>0</v>
      </c>
      <c r="Q424" s="117">
        <f t="shared" si="625"/>
        <v>316</v>
      </c>
      <c r="R424" s="117">
        <f t="shared" si="626"/>
        <v>0</v>
      </c>
      <c r="S424" s="292">
        <f t="shared" si="667"/>
        <v>0</v>
      </c>
      <c r="T424" s="292">
        <f t="shared" si="667"/>
        <v>0</v>
      </c>
      <c r="U424" s="292">
        <f t="shared" si="667"/>
        <v>0</v>
      </c>
    </row>
    <row r="425" spans="1:21" ht="15">
      <c r="A425" s="34"/>
      <c r="B425" s="33" t="s">
        <v>194</v>
      </c>
      <c r="C425" s="12">
        <v>70</v>
      </c>
      <c r="D425" s="73">
        <f t="shared" si="667"/>
        <v>215</v>
      </c>
      <c r="E425" s="73">
        <f t="shared" ref="E425:F425" si="671">E432+E450</f>
        <v>24</v>
      </c>
      <c r="F425" s="73">
        <f t="shared" si="671"/>
        <v>341</v>
      </c>
      <c r="G425" s="73">
        <f t="shared" si="667"/>
        <v>25</v>
      </c>
      <c r="H425" s="73">
        <f t="shared" si="667"/>
        <v>341</v>
      </c>
      <c r="I425" s="73">
        <f t="shared" si="667"/>
        <v>759</v>
      </c>
      <c r="J425" s="73">
        <f t="shared" si="667"/>
        <v>316</v>
      </c>
      <c r="K425" s="73">
        <f t="shared" ref="K425:L425" si="672">K432+K450</f>
        <v>759</v>
      </c>
      <c r="L425" s="292">
        <f t="shared" si="672"/>
        <v>316</v>
      </c>
      <c r="M425" s="292">
        <f t="shared" ref="M425:P425" si="673">M432+M450</f>
        <v>316</v>
      </c>
      <c r="N425" s="292">
        <f t="shared" si="673"/>
        <v>0</v>
      </c>
      <c r="O425" s="292">
        <f t="shared" si="673"/>
        <v>0</v>
      </c>
      <c r="P425" s="292">
        <f t="shared" si="673"/>
        <v>0</v>
      </c>
      <c r="Q425" s="117">
        <f t="shared" si="625"/>
        <v>316</v>
      </c>
      <c r="R425" s="117">
        <f t="shared" si="626"/>
        <v>0</v>
      </c>
      <c r="S425" s="292">
        <f t="shared" si="667"/>
        <v>0</v>
      </c>
      <c r="T425" s="292">
        <f t="shared" si="667"/>
        <v>0</v>
      </c>
      <c r="U425" s="292">
        <f t="shared" si="667"/>
        <v>0</v>
      </c>
    </row>
    <row r="426" spans="1:21" ht="14.25">
      <c r="A426" s="34">
        <v>1</v>
      </c>
      <c r="B426" s="186" t="s">
        <v>594</v>
      </c>
      <c r="C426" s="184">
        <v>60.02</v>
      </c>
      <c r="D426" s="185">
        <f t="shared" ref="D426:U426" si="674">D427+D436</f>
        <v>508</v>
      </c>
      <c r="E426" s="185">
        <f t="shared" ref="E426:F426" si="675">E427+E436</f>
        <v>502.22</v>
      </c>
      <c r="F426" s="185">
        <f t="shared" si="675"/>
        <v>550</v>
      </c>
      <c r="G426" s="185">
        <f t="shared" si="674"/>
        <v>550</v>
      </c>
      <c r="H426" s="185">
        <f t="shared" si="674"/>
        <v>550</v>
      </c>
      <c r="I426" s="185">
        <f t="shared" si="674"/>
        <v>902</v>
      </c>
      <c r="J426" s="185">
        <f t="shared" si="674"/>
        <v>420</v>
      </c>
      <c r="K426" s="185">
        <f t="shared" ref="K426:L426" si="676">K427+K436</f>
        <v>902</v>
      </c>
      <c r="L426" s="299">
        <f t="shared" si="676"/>
        <v>470</v>
      </c>
      <c r="M426" s="299">
        <f t="shared" ref="M426:P426" si="677">M427+M436</f>
        <v>125</v>
      </c>
      <c r="N426" s="299">
        <f t="shared" si="677"/>
        <v>125</v>
      </c>
      <c r="O426" s="299">
        <f t="shared" si="677"/>
        <v>125</v>
      </c>
      <c r="P426" s="299">
        <f t="shared" si="677"/>
        <v>95</v>
      </c>
      <c r="Q426" s="117">
        <f t="shared" si="625"/>
        <v>470</v>
      </c>
      <c r="R426" s="117">
        <f t="shared" si="626"/>
        <v>0</v>
      </c>
      <c r="S426" s="299">
        <f t="shared" si="674"/>
        <v>470</v>
      </c>
      <c r="T426" s="299">
        <f t="shared" si="674"/>
        <v>470</v>
      </c>
      <c r="U426" s="299">
        <f t="shared" si="674"/>
        <v>470</v>
      </c>
    </row>
    <row r="427" spans="1:21" ht="14.25">
      <c r="A427" s="34" t="s">
        <v>243</v>
      </c>
      <c r="B427" s="52" t="s">
        <v>244</v>
      </c>
      <c r="C427" s="84" t="s">
        <v>245</v>
      </c>
      <c r="D427" s="73">
        <f t="shared" ref="D427:U427" si="678">D428+D431</f>
        <v>488</v>
      </c>
      <c r="E427" s="73">
        <f t="shared" ref="E427:F427" si="679">E428+E431</f>
        <v>483</v>
      </c>
      <c r="F427" s="73">
        <f t="shared" si="679"/>
        <v>530</v>
      </c>
      <c r="G427" s="73">
        <f t="shared" si="678"/>
        <v>530</v>
      </c>
      <c r="H427" s="73">
        <f t="shared" si="678"/>
        <v>530</v>
      </c>
      <c r="I427" s="73">
        <f t="shared" si="678"/>
        <v>826</v>
      </c>
      <c r="J427" s="73">
        <f t="shared" si="678"/>
        <v>400</v>
      </c>
      <c r="K427" s="73">
        <f t="shared" ref="K427:L427" si="680">K428+K431</f>
        <v>826</v>
      </c>
      <c r="L427" s="292">
        <f t="shared" si="680"/>
        <v>450</v>
      </c>
      <c r="M427" s="292">
        <f t="shared" ref="M427:P427" si="681">M428+M431</f>
        <v>120</v>
      </c>
      <c r="N427" s="292">
        <f t="shared" si="681"/>
        <v>120</v>
      </c>
      <c r="O427" s="292">
        <f t="shared" si="681"/>
        <v>120</v>
      </c>
      <c r="P427" s="292">
        <f t="shared" si="681"/>
        <v>90</v>
      </c>
      <c r="Q427" s="117">
        <f t="shared" si="625"/>
        <v>450</v>
      </c>
      <c r="R427" s="117">
        <f t="shared" si="626"/>
        <v>0</v>
      </c>
      <c r="S427" s="292">
        <f t="shared" si="678"/>
        <v>450</v>
      </c>
      <c r="T427" s="292">
        <f t="shared" si="678"/>
        <v>450</v>
      </c>
      <c r="U427" s="292">
        <f t="shared" si="678"/>
        <v>450</v>
      </c>
    </row>
    <row r="428" spans="1:21" ht="29.25" customHeight="1">
      <c r="A428" s="34"/>
      <c r="B428" s="24" t="s">
        <v>153</v>
      </c>
      <c r="C428" s="84"/>
      <c r="D428" s="73">
        <f t="shared" ref="D428:U429" si="682">D429</f>
        <v>484</v>
      </c>
      <c r="E428" s="73">
        <f t="shared" si="682"/>
        <v>483</v>
      </c>
      <c r="F428" s="73">
        <f t="shared" si="682"/>
        <v>530</v>
      </c>
      <c r="G428" s="73">
        <f t="shared" si="682"/>
        <v>530</v>
      </c>
      <c r="H428" s="73">
        <f t="shared" si="682"/>
        <v>530</v>
      </c>
      <c r="I428" s="73">
        <f t="shared" si="682"/>
        <v>676</v>
      </c>
      <c r="J428" s="73">
        <f t="shared" si="682"/>
        <v>400</v>
      </c>
      <c r="K428" s="73">
        <f t="shared" si="682"/>
        <v>676</v>
      </c>
      <c r="L428" s="292">
        <f t="shared" si="682"/>
        <v>450</v>
      </c>
      <c r="M428" s="292">
        <f t="shared" si="682"/>
        <v>120</v>
      </c>
      <c r="N428" s="292">
        <f t="shared" si="682"/>
        <v>120</v>
      </c>
      <c r="O428" s="292">
        <f t="shared" si="682"/>
        <v>120</v>
      </c>
      <c r="P428" s="292">
        <f t="shared" si="682"/>
        <v>90</v>
      </c>
      <c r="Q428" s="117">
        <f t="shared" si="625"/>
        <v>450</v>
      </c>
      <c r="R428" s="117">
        <f t="shared" si="626"/>
        <v>0</v>
      </c>
      <c r="S428" s="292">
        <f t="shared" si="682"/>
        <v>450</v>
      </c>
      <c r="T428" s="292">
        <f t="shared" si="682"/>
        <v>450</v>
      </c>
      <c r="U428" s="292">
        <f t="shared" si="682"/>
        <v>450</v>
      </c>
    </row>
    <row r="429" spans="1:21" ht="13.5" customHeight="1">
      <c r="A429" s="34"/>
      <c r="B429" s="33" t="s">
        <v>154</v>
      </c>
      <c r="C429" s="12">
        <v>1</v>
      </c>
      <c r="D429" s="69">
        <f t="shared" si="682"/>
        <v>484</v>
      </c>
      <c r="E429" s="69">
        <f t="shared" si="682"/>
        <v>483</v>
      </c>
      <c r="F429" s="69">
        <f t="shared" si="682"/>
        <v>530</v>
      </c>
      <c r="G429" s="69">
        <f t="shared" si="682"/>
        <v>530</v>
      </c>
      <c r="H429" s="69">
        <f t="shared" si="682"/>
        <v>530</v>
      </c>
      <c r="I429" s="69">
        <f t="shared" si="682"/>
        <v>676</v>
      </c>
      <c r="J429" s="69">
        <f t="shared" si="682"/>
        <v>400</v>
      </c>
      <c r="K429" s="69">
        <f t="shared" si="682"/>
        <v>676</v>
      </c>
      <c r="L429" s="283">
        <f t="shared" si="682"/>
        <v>450</v>
      </c>
      <c r="M429" s="283">
        <f t="shared" si="682"/>
        <v>120</v>
      </c>
      <c r="N429" s="283">
        <f t="shared" si="682"/>
        <v>120</v>
      </c>
      <c r="O429" s="283">
        <f t="shared" si="682"/>
        <v>120</v>
      </c>
      <c r="P429" s="283">
        <f t="shared" si="682"/>
        <v>90</v>
      </c>
      <c r="Q429" s="117">
        <f t="shared" si="625"/>
        <v>450</v>
      </c>
      <c r="R429" s="117">
        <f t="shared" si="626"/>
        <v>0</v>
      </c>
      <c r="S429" s="283">
        <f t="shared" si="682"/>
        <v>450</v>
      </c>
      <c r="T429" s="283">
        <f t="shared" si="682"/>
        <v>450</v>
      </c>
      <c r="U429" s="283">
        <f t="shared" si="682"/>
        <v>450</v>
      </c>
    </row>
    <row r="430" spans="1:21" ht="12" customHeight="1">
      <c r="A430" s="34"/>
      <c r="B430" s="33" t="s">
        <v>588</v>
      </c>
      <c r="C430" s="12">
        <v>20</v>
      </c>
      <c r="D430" s="68">
        <v>484</v>
      </c>
      <c r="E430" s="197">
        <v>483</v>
      </c>
      <c r="F430" s="68">
        <v>530</v>
      </c>
      <c r="G430" s="68">
        <v>530</v>
      </c>
      <c r="H430" s="68">
        <v>530</v>
      </c>
      <c r="I430" s="197">
        <v>676</v>
      </c>
      <c r="J430" s="197">
        <v>400</v>
      </c>
      <c r="K430" s="197">
        <v>676</v>
      </c>
      <c r="L430" s="282">
        <v>450</v>
      </c>
      <c r="M430" s="282">
        <v>120</v>
      </c>
      <c r="N430" s="282">
        <v>120</v>
      </c>
      <c r="O430" s="282">
        <v>120</v>
      </c>
      <c r="P430" s="282">
        <v>90</v>
      </c>
      <c r="Q430" s="117">
        <f t="shared" si="625"/>
        <v>450</v>
      </c>
      <c r="R430" s="117">
        <f t="shared" si="626"/>
        <v>0</v>
      </c>
      <c r="S430" s="282">
        <v>450</v>
      </c>
      <c r="T430" s="282">
        <v>450</v>
      </c>
      <c r="U430" s="282">
        <v>450</v>
      </c>
    </row>
    <row r="431" spans="1:21" ht="12" customHeight="1">
      <c r="A431" s="34"/>
      <c r="B431" s="26" t="s">
        <v>165</v>
      </c>
      <c r="C431" s="12"/>
      <c r="D431" s="73">
        <f t="shared" ref="D431:U431" si="683">D432</f>
        <v>4</v>
      </c>
      <c r="E431" s="73">
        <f t="shared" si="683"/>
        <v>0</v>
      </c>
      <c r="F431" s="73">
        <f t="shared" si="683"/>
        <v>0</v>
      </c>
      <c r="G431" s="73">
        <f t="shared" si="683"/>
        <v>0</v>
      </c>
      <c r="H431" s="73">
        <f t="shared" si="683"/>
        <v>0</v>
      </c>
      <c r="I431" s="73">
        <f t="shared" si="683"/>
        <v>150</v>
      </c>
      <c r="J431" s="73">
        <f t="shared" si="683"/>
        <v>0</v>
      </c>
      <c r="K431" s="73">
        <f t="shared" si="683"/>
        <v>150</v>
      </c>
      <c r="L431" s="292">
        <f t="shared" si="683"/>
        <v>0</v>
      </c>
      <c r="M431" s="292">
        <f t="shared" si="683"/>
        <v>0</v>
      </c>
      <c r="N431" s="292">
        <f t="shared" si="683"/>
        <v>0</v>
      </c>
      <c r="O431" s="292">
        <f t="shared" si="683"/>
        <v>0</v>
      </c>
      <c r="P431" s="292">
        <f t="shared" si="683"/>
        <v>0</v>
      </c>
      <c r="Q431" s="117">
        <f t="shared" si="625"/>
        <v>0</v>
      </c>
      <c r="R431" s="117">
        <f t="shared" si="626"/>
        <v>0</v>
      </c>
      <c r="S431" s="292">
        <f t="shared" si="683"/>
        <v>0</v>
      </c>
      <c r="T431" s="292">
        <f t="shared" si="683"/>
        <v>0</v>
      </c>
      <c r="U431" s="292">
        <f t="shared" si="683"/>
        <v>0</v>
      </c>
    </row>
    <row r="432" spans="1:21" ht="12" customHeight="1">
      <c r="A432" s="34"/>
      <c r="B432" s="33" t="s">
        <v>194</v>
      </c>
      <c r="C432" s="12">
        <v>70</v>
      </c>
      <c r="D432" s="69">
        <f t="shared" ref="D432:U432" si="684">D433+D434+D435</f>
        <v>4</v>
      </c>
      <c r="E432" s="69">
        <f t="shared" ref="E432:F432" si="685">E433+E434+E435</f>
        <v>0</v>
      </c>
      <c r="F432" s="69">
        <f t="shared" si="685"/>
        <v>0</v>
      </c>
      <c r="G432" s="69">
        <f t="shared" si="684"/>
        <v>0</v>
      </c>
      <c r="H432" s="69">
        <f t="shared" si="684"/>
        <v>0</v>
      </c>
      <c r="I432" s="69">
        <f t="shared" si="684"/>
        <v>150</v>
      </c>
      <c r="J432" s="69">
        <f t="shared" si="684"/>
        <v>0</v>
      </c>
      <c r="K432" s="69">
        <f t="shared" ref="K432:L432" si="686">K433+K434+K435</f>
        <v>150</v>
      </c>
      <c r="L432" s="283">
        <f t="shared" si="686"/>
        <v>0</v>
      </c>
      <c r="M432" s="283">
        <f t="shared" ref="M432:P432" si="687">M433+M434+M435</f>
        <v>0</v>
      </c>
      <c r="N432" s="283">
        <f t="shared" si="687"/>
        <v>0</v>
      </c>
      <c r="O432" s="283">
        <f t="shared" si="687"/>
        <v>0</v>
      </c>
      <c r="P432" s="283">
        <f t="shared" si="687"/>
        <v>0</v>
      </c>
      <c r="Q432" s="117">
        <f t="shared" si="625"/>
        <v>0</v>
      </c>
      <c r="R432" s="117">
        <f t="shared" si="626"/>
        <v>0</v>
      </c>
      <c r="S432" s="283">
        <f t="shared" si="684"/>
        <v>0</v>
      </c>
      <c r="T432" s="283">
        <f t="shared" si="684"/>
        <v>0</v>
      </c>
      <c r="U432" s="283">
        <f t="shared" si="684"/>
        <v>0</v>
      </c>
    </row>
    <row r="433" spans="1:21" ht="17.25" customHeight="1">
      <c r="A433" s="34"/>
      <c r="B433" s="33" t="s">
        <v>246</v>
      </c>
      <c r="C433" s="12" t="s">
        <v>198</v>
      </c>
      <c r="D433" s="68"/>
      <c r="E433" s="197"/>
      <c r="F433" s="68"/>
      <c r="G433" s="68"/>
      <c r="H433" s="68"/>
      <c r="I433" s="197">
        <v>75</v>
      </c>
      <c r="J433" s="197"/>
      <c r="K433" s="197">
        <v>75</v>
      </c>
      <c r="L433" s="282"/>
      <c r="M433" s="282"/>
      <c r="N433" s="282"/>
      <c r="O433" s="282"/>
      <c r="P433" s="282"/>
      <c r="Q433" s="117">
        <f t="shared" si="625"/>
        <v>0</v>
      </c>
      <c r="R433" s="117">
        <f t="shared" si="626"/>
        <v>0</v>
      </c>
      <c r="S433" s="282"/>
      <c r="T433" s="282"/>
      <c r="U433" s="282"/>
    </row>
    <row r="434" spans="1:21" ht="12" customHeight="1">
      <c r="A434" s="34"/>
      <c r="B434" s="33" t="s">
        <v>201</v>
      </c>
      <c r="C434" s="12" t="s">
        <v>202</v>
      </c>
      <c r="D434" s="68">
        <v>4</v>
      </c>
      <c r="E434" s="197"/>
      <c r="F434" s="68"/>
      <c r="G434" s="68"/>
      <c r="H434" s="68"/>
      <c r="I434" s="197">
        <v>75</v>
      </c>
      <c r="J434" s="197"/>
      <c r="K434" s="197">
        <v>75</v>
      </c>
      <c r="L434" s="282"/>
      <c r="M434" s="282"/>
      <c r="N434" s="282"/>
      <c r="O434" s="282"/>
      <c r="P434" s="282"/>
      <c r="Q434" s="117">
        <f t="shared" si="625"/>
        <v>0</v>
      </c>
      <c r="R434" s="117">
        <f t="shared" si="626"/>
        <v>0</v>
      </c>
      <c r="S434" s="282"/>
      <c r="T434" s="282"/>
      <c r="U434" s="282"/>
    </row>
    <row r="435" spans="1:21" ht="12" customHeight="1">
      <c r="A435" s="34"/>
      <c r="B435" s="33" t="s">
        <v>203</v>
      </c>
      <c r="C435" s="12" t="s">
        <v>204</v>
      </c>
      <c r="D435" s="68"/>
      <c r="E435" s="197"/>
      <c r="F435" s="68"/>
      <c r="G435" s="68"/>
      <c r="H435" s="68"/>
      <c r="I435" s="197"/>
      <c r="J435" s="197"/>
      <c r="K435" s="197"/>
      <c r="L435" s="282"/>
      <c r="M435" s="282"/>
      <c r="N435" s="282"/>
      <c r="O435" s="282"/>
      <c r="P435" s="282"/>
      <c r="Q435" s="117">
        <f t="shared" si="625"/>
        <v>0</v>
      </c>
      <c r="R435" s="117">
        <f t="shared" si="626"/>
        <v>0</v>
      </c>
      <c r="S435" s="282"/>
      <c r="T435" s="282"/>
      <c r="U435" s="282"/>
    </row>
    <row r="436" spans="1:21" ht="28.5">
      <c r="A436" s="34" t="s">
        <v>247</v>
      </c>
      <c r="B436" s="50" t="s">
        <v>248</v>
      </c>
      <c r="C436" s="84" t="s">
        <v>245</v>
      </c>
      <c r="D436" s="73">
        <f t="shared" ref="D436" si="688">D438</f>
        <v>20</v>
      </c>
      <c r="E436" s="73">
        <f t="shared" ref="E436:F436" si="689">E438+E440</f>
        <v>19.22</v>
      </c>
      <c r="F436" s="73">
        <f t="shared" si="689"/>
        <v>20</v>
      </c>
      <c r="G436" s="73">
        <f t="shared" ref="G436:U436" si="690">G438+G440</f>
        <v>20</v>
      </c>
      <c r="H436" s="73">
        <f t="shared" si="690"/>
        <v>20</v>
      </c>
      <c r="I436" s="73">
        <f t="shared" si="690"/>
        <v>76</v>
      </c>
      <c r="J436" s="73">
        <f t="shared" si="690"/>
        <v>20</v>
      </c>
      <c r="K436" s="73">
        <f t="shared" ref="K436:L436" si="691">K438+K440</f>
        <v>76</v>
      </c>
      <c r="L436" s="292">
        <f t="shared" si="691"/>
        <v>20</v>
      </c>
      <c r="M436" s="292">
        <f t="shared" ref="M436:P436" si="692">M438+M440</f>
        <v>5</v>
      </c>
      <c r="N436" s="292">
        <f t="shared" si="692"/>
        <v>5</v>
      </c>
      <c r="O436" s="292">
        <f t="shared" si="692"/>
        <v>5</v>
      </c>
      <c r="P436" s="292">
        <f t="shared" si="692"/>
        <v>5</v>
      </c>
      <c r="Q436" s="117">
        <f t="shared" si="625"/>
        <v>20</v>
      </c>
      <c r="R436" s="117">
        <f t="shared" si="626"/>
        <v>0</v>
      </c>
      <c r="S436" s="292">
        <f t="shared" si="690"/>
        <v>20</v>
      </c>
      <c r="T436" s="292">
        <f t="shared" si="690"/>
        <v>20</v>
      </c>
      <c r="U436" s="292">
        <f t="shared" si="690"/>
        <v>20</v>
      </c>
    </row>
    <row r="437" spans="1:21" ht="14.25">
      <c r="A437" s="34"/>
      <c r="B437" s="24" t="s">
        <v>153</v>
      </c>
      <c r="C437" s="84"/>
      <c r="D437" s="73">
        <f t="shared" ref="D437:U438" si="693">D438</f>
        <v>20</v>
      </c>
      <c r="E437" s="73">
        <f t="shared" si="693"/>
        <v>19.22</v>
      </c>
      <c r="F437" s="73">
        <f t="shared" si="693"/>
        <v>20</v>
      </c>
      <c r="G437" s="73">
        <f t="shared" si="693"/>
        <v>20</v>
      </c>
      <c r="H437" s="73">
        <f t="shared" si="693"/>
        <v>20</v>
      </c>
      <c r="I437" s="73">
        <f t="shared" si="693"/>
        <v>20</v>
      </c>
      <c r="J437" s="73">
        <f t="shared" si="693"/>
        <v>20</v>
      </c>
      <c r="K437" s="73">
        <f t="shared" si="693"/>
        <v>20</v>
      </c>
      <c r="L437" s="292">
        <f t="shared" si="693"/>
        <v>20</v>
      </c>
      <c r="M437" s="292">
        <f t="shared" si="693"/>
        <v>5</v>
      </c>
      <c r="N437" s="292">
        <f t="shared" si="693"/>
        <v>5</v>
      </c>
      <c r="O437" s="292">
        <f t="shared" si="693"/>
        <v>5</v>
      </c>
      <c r="P437" s="292">
        <f t="shared" si="693"/>
        <v>5</v>
      </c>
      <c r="Q437" s="117">
        <f t="shared" si="625"/>
        <v>20</v>
      </c>
      <c r="R437" s="117">
        <f t="shared" si="626"/>
        <v>0</v>
      </c>
      <c r="S437" s="292">
        <f t="shared" si="693"/>
        <v>20</v>
      </c>
      <c r="T437" s="292">
        <f t="shared" si="693"/>
        <v>20</v>
      </c>
      <c r="U437" s="292">
        <f t="shared" si="693"/>
        <v>20</v>
      </c>
    </row>
    <row r="438" spans="1:21" ht="15">
      <c r="A438" s="34"/>
      <c r="B438" s="33" t="s">
        <v>154</v>
      </c>
      <c r="C438" s="12">
        <v>1</v>
      </c>
      <c r="D438" s="69">
        <f t="shared" si="693"/>
        <v>20</v>
      </c>
      <c r="E438" s="69">
        <f t="shared" si="693"/>
        <v>19.22</v>
      </c>
      <c r="F438" s="69">
        <f t="shared" si="693"/>
        <v>20</v>
      </c>
      <c r="G438" s="69">
        <f t="shared" si="693"/>
        <v>20</v>
      </c>
      <c r="H438" s="69">
        <f t="shared" si="693"/>
        <v>20</v>
      </c>
      <c r="I438" s="69">
        <f t="shared" si="693"/>
        <v>20</v>
      </c>
      <c r="J438" s="69">
        <f t="shared" si="693"/>
        <v>20</v>
      </c>
      <c r="K438" s="69">
        <f t="shared" si="693"/>
        <v>20</v>
      </c>
      <c r="L438" s="283">
        <f t="shared" si="693"/>
        <v>20</v>
      </c>
      <c r="M438" s="283">
        <f t="shared" si="693"/>
        <v>5</v>
      </c>
      <c r="N438" s="283">
        <f t="shared" si="693"/>
        <v>5</v>
      </c>
      <c r="O438" s="283">
        <f t="shared" si="693"/>
        <v>5</v>
      </c>
      <c r="P438" s="283">
        <f t="shared" si="693"/>
        <v>5</v>
      </c>
      <c r="Q438" s="117">
        <f t="shared" si="625"/>
        <v>20</v>
      </c>
      <c r="R438" s="117">
        <f t="shared" si="626"/>
        <v>0</v>
      </c>
      <c r="S438" s="283">
        <f t="shared" si="693"/>
        <v>20</v>
      </c>
      <c r="T438" s="283">
        <f t="shared" si="693"/>
        <v>20</v>
      </c>
      <c r="U438" s="283">
        <f t="shared" si="693"/>
        <v>20</v>
      </c>
    </row>
    <row r="439" spans="1:21" ht="15">
      <c r="A439" s="34"/>
      <c r="B439" s="33" t="s">
        <v>156</v>
      </c>
      <c r="C439" s="12">
        <v>20</v>
      </c>
      <c r="D439" s="68">
        <v>20</v>
      </c>
      <c r="E439" s="197">
        <v>19.22</v>
      </c>
      <c r="F439" s="68">
        <v>20</v>
      </c>
      <c r="G439" s="68">
        <v>20</v>
      </c>
      <c r="H439" s="68">
        <v>20</v>
      </c>
      <c r="I439" s="197">
        <v>20</v>
      </c>
      <c r="J439" s="197">
        <v>20</v>
      </c>
      <c r="K439" s="197">
        <v>20</v>
      </c>
      <c r="L439" s="282">
        <v>20</v>
      </c>
      <c r="M439" s="282">
        <v>5</v>
      </c>
      <c r="N439" s="282">
        <v>5</v>
      </c>
      <c r="O439" s="282">
        <v>5</v>
      </c>
      <c r="P439" s="282">
        <v>5</v>
      </c>
      <c r="Q439" s="117">
        <f t="shared" si="625"/>
        <v>20</v>
      </c>
      <c r="R439" s="117">
        <f t="shared" si="626"/>
        <v>0</v>
      </c>
      <c r="S439" s="282">
        <v>20</v>
      </c>
      <c r="T439" s="282">
        <v>20</v>
      </c>
      <c r="U439" s="282">
        <v>20</v>
      </c>
    </row>
    <row r="440" spans="1:21" ht="14.25" hidden="1">
      <c r="A440" s="34"/>
      <c r="B440" s="26" t="s">
        <v>165</v>
      </c>
      <c r="C440" s="12"/>
      <c r="D440" s="69"/>
      <c r="E440" s="69">
        <f t="shared" ref="E440:U440" si="694">E441</f>
        <v>0</v>
      </c>
      <c r="F440" s="69">
        <f t="shared" si="694"/>
        <v>0</v>
      </c>
      <c r="G440" s="69">
        <f t="shared" si="694"/>
        <v>0</v>
      </c>
      <c r="H440" s="69">
        <f t="shared" si="694"/>
        <v>0</v>
      </c>
      <c r="I440" s="69">
        <f t="shared" si="694"/>
        <v>56</v>
      </c>
      <c r="J440" s="69">
        <f t="shared" si="694"/>
        <v>0</v>
      </c>
      <c r="K440" s="69">
        <f t="shared" si="694"/>
        <v>56</v>
      </c>
      <c r="L440" s="283">
        <f t="shared" si="694"/>
        <v>0</v>
      </c>
      <c r="M440" s="283">
        <f t="shared" si="694"/>
        <v>0</v>
      </c>
      <c r="N440" s="283">
        <f t="shared" si="694"/>
        <v>0</v>
      </c>
      <c r="O440" s="283">
        <f t="shared" si="694"/>
        <v>0</v>
      </c>
      <c r="P440" s="283">
        <f t="shared" si="694"/>
        <v>0</v>
      </c>
      <c r="Q440" s="117">
        <f t="shared" si="625"/>
        <v>0</v>
      </c>
      <c r="R440" s="117">
        <f t="shared" si="626"/>
        <v>0</v>
      </c>
      <c r="S440" s="283">
        <f t="shared" si="694"/>
        <v>0</v>
      </c>
      <c r="T440" s="283">
        <f t="shared" si="694"/>
        <v>0</v>
      </c>
      <c r="U440" s="283">
        <f t="shared" si="694"/>
        <v>0</v>
      </c>
    </row>
    <row r="441" spans="1:21" ht="15" hidden="1" customHeight="1">
      <c r="A441" s="34"/>
      <c r="B441" s="33" t="s">
        <v>194</v>
      </c>
      <c r="C441" s="12">
        <v>70</v>
      </c>
      <c r="D441" s="68"/>
      <c r="E441" s="197"/>
      <c r="F441" s="68"/>
      <c r="G441" s="68"/>
      <c r="H441" s="68"/>
      <c r="I441" s="197">
        <v>56</v>
      </c>
      <c r="J441" s="197"/>
      <c r="K441" s="197">
        <v>56</v>
      </c>
      <c r="L441" s="282"/>
      <c r="M441" s="282"/>
      <c r="N441" s="282"/>
      <c r="O441" s="282"/>
      <c r="P441" s="282"/>
      <c r="Q441" s="117">
        <f t="shared" si="625"/>
        <v>0</v>
      </c>
      <c r="R441" s="117">
        <f t="shared" si="626"/>
        <v>0</v>
      </c>
      <c r="S441" s="282">
        <v>0</v>
      </c>
      <c r="T441" s="282">
        <v>0</v>
      </c>
      <c r="U441" s="282">
        <v>0</v>
      </c>
    </row>
    <row r="442" spans="1:21" ht="32.25" customHeight="1">
      <c r="A442" s="34">
        <v>2</v>
      </c>
      <c r="B442" s="187" t="s">
        <v>595</v>
      </c>
      <c r="C442" s="184">
        <v>61.02</v>
      </c>
      <c r="D442" s="185">
        <f t="shared" ref="D442:U442" si="695">D443</f>
        <v>1129</v>
      </c>
      <c r="E442" s="185">
        <f t="shared" si="695"/>
        <v>876</v>
      </c>
      <c r="F442" s="185">
        <f t="shared" si="695"/>
        <v>1291</v>
      </c>
      <c r="G442" s="185">
        <f t="shared" si="695"/>
        <v>975</v>
      </c>
      <c r="H442" s="185">
        <f t="shared" si="695"/>
        <v>1291</v>
      </c>
      <c r="I442" s="185">
        <f t="shared" si="695"/>
        <v>1816</v>
      </c>
      <c r="J442" s="185">
        <f t="shared" si="695"/>
        <v>1116</v>
      </c>
      <c r="K442" s="185">
        <f t="shared" si="695"/>
        <v>1846</v>
      </c>
      <c r="L442" s="299">
        <f t="shared" si="695"/>
        <v>1116</v>
      </c>
      <c r="M442" s="299">
        <f t="shared" si="695"/>
        <v>541</v>
      </c>
      <c r="N442" s="299">
        <f t="shared" si="695"/>
        <v>200</v>
      </c>
      <c r="O442" s="299">
        <f t="shared" si="695"/>
        <v>200</v>
      </c>
      <c r="P442" s="299">
        <f t="shared" si="695"/>
        <v>175</v>
      </c>
      <c r="Q442" s="117">
        <f t="shared" si="625"/>
        <v>1116</v>
      </c>
      <c r="R442" s="117">
        <f t="shared" si="626"/>
        <v>0</v>
      </c>
      <c r="S442" s="299">
        <f t="shared" si="695"/>
        <v>800</v>
      </c>
      <c r="T442" s="299">
        <f t="shared" si="695"/>
        <v>800</v>
      </c>
      <c r="U442" s="299">
        <f t="shared" si="695"/>
        <v>800</v>
      </c>
    </row>
    <row r="443" spans="1:21" ht="30.75" customHeight="1">
      <c r="A443" s="34" t="s">
        <v>212</v>
      </c>
      <c r="B443" s="50" t="s">
        <v>249</v>
      </c>
      <c r="C443" s="12" t="s">
        <v>250</v>
      </c>
      <c r="D443" s="73">
        <f t="shared" ref="D443:U443" si="696">D444+D449</f>
        <v>1129</v>
      </c>
      <c r="E443" s="73">
        <f t="shared" ref="E443:F443" si="697">E444+E449</f>
        <v>876</v>
      </c>
      <c r="F443" s="73">
        <f t="shared" si="697"/>
        <v>1291</v>
      </c>
      <c r="G443" s="73">
        <f t="shared" si="696"/>
        <v>975</v>
      </c>
      <c r="H443" s="73">
        <f t="shared" si="696"/>
        <v>1291</v>
      </c>
      <c r="I443" s="73">
        <f t="shared" si="696"/>
        <v>1816</v>
      </c>
      <c r="J443" s="73">
        <f t="shared" si="696"/>
        <v>1116</v>
      </c>
      <c r="K443" s="73">
        <f t="shared" ref="K443:L443" si="698">K444+K449</f>
        <v>1846</v>
      </c>
      <c r="L443" s="292">
        <f t="shared" si="698"/>
        <v>1116</v>
      </c>
      <c r="M443" s="292">
        <f t="shared" ref="M443:P443" si="699">M444+M449</f>
        <v>541</v>
      </c>
      <c r="N443" s="292">
        <f t="shared" si="699"/>
        <v>200</v>
      </c>
      <c r="O443" s="292">
        <f t="shared" si="699"/>
        <v>200</v>
      </c>
      <c r="P443" s="292">
        <f t="shared" si="699"/>
        <v>175</v>
      </c>
      <c r="Q443" s="117">
        <f t="shared" si="625"/>
        <v>1116</v>
      </c>
      <c r="R443" s="117">
        <f t="shared" si="626"/>
        <v>0</v>
      </c>
      <c r="S443" s="292">
        <f t="shared" si="696"/>
        <v>800</v>
      </c>
      <c r="T443" s="292">
        <f t="shared" si="696"/>
        <v>800</v>
      </c>
      <c r="U443" s="292">
        <f t="shared" si="696"/>
        <v>800</v>
      </c>
    </row>
    <row r="444" spans="1:21" ht="14.25">
      <c r="A444" s="34"/>
      <c r="B444" s="24" t="s">
        <v>153</v>
      </c>
      <c r="C444" s="12"/>
      <c r="D444" s="73">
        <f t="shared" ref="D444:U444" si="700">D445</f>
        <v>918</v>
      </c>
      <c r="E444" s="73">
        <f t="shared" si="700"/>
        <v>852</v>
      </c>
      <c r="F444" s="73">
        <f t="shared" si="700"/>
        <v>950</v>
      </c>
      <c r="G444" s="73">
        <f t="shared" si="700"/>
        <v>950</v>
      </c>
      <c r="H444" s="73">
        <f t="shared" si="700"/>
        <v>950</v>
      </c>
      <c r="I444" s="73">
        <f t="shared" si="700"/>
        <v>1207</v>
      </c>
      <c r="J444" s="73">
        <f t="shared" si="700"/>
        <v>800</v>
      </c>
      <c r="K444" s="73">
        <f t="shared" si="700"/>
        <v>1237</v>
      </c>
      <c r="L444" s="292">
        <f t="shared" si="700"/>
        <v>800</v>
      </c>
      <c r="M444" s="292">
        <f t="shared" si="700"/>
        <v>225</v>
      </c>
      <c r="N444" s="292">
        <f t="shared" si="700"/>
        <v>200</v>
      </c>
      <c r="O444" s="292">
        <f t="shared" si="700"/>
        <v>200</v>
      </c>
      <c r="P444" s="292">
        <f t="shared" si="700"/>
        <v>175</v>
      </c>
      <c r="Q444" s="117">
        <f t="shared" si="625"/>
        <v>800</v>
      </c>
      <c r="R444" s="117">
        <f t="shared" si="626"/>
        <v>0</v>
      </c>
      <c r="S444" s="292">
        <f t="shared" si="700"/>
        <v>800</v>
      </c>
      <c r="T444" s="292">
        <f t="shared" si="700"/>
        <v>800</v>
      </c>
      <c r="U444" s="292">
        <f t="shared" si="700"/>
        <v>800</v>
      </c>
    </row>
    <row r="445" spans="1:21" ht="15">
      <c r="A445" s="34"/>
      <c r="B445" s="33" t="s">
        <v>154</v>
      </c>
      <c r="C445" s="12">
        <v>1</v>
      </c>
      <c r="D445" s="69">
        <f t="shared" ref="D445:U445" si="701">D446+D447+D448</f>
        <v>918</v>
      </c>
      <c r="E445" s="69">
        <f t="shared" ref="E445:F445" si="702">E446+E447+E448</f>
        <v>852</v>
      </c>
      <c r="F445" s="69">
        <f t="shared" si="702"/>
        <v>950</v>
      </c>
      <c r="G445" s="69">
        <f t="shared" si="701"/>
        <v>950</v>
      </c>
      <c r="H445" s="69">
        <f t="shared" si="701"/>
        <v>950</v>
      </c>
      <c r="I445" s="69">
        <f t="shared" si="701"/>
        <v>1207</v>
      </c>
      <c r="J445" s="69">
        <f t="shared" si="701"/>
        <v>800</v>
      </c>
      <c r="K445" s="69">
        <f t="shared" ref="K445:L445" si="703">K446+K447+K448</f>
        <v>1237</v>
      </c>
      <c r="L445" s="283">
        <f t="shared" si="703"/>
        <v>800</v>
      </c>
      <c r="M445" s="283">
        <f t="shared" ref="M445:P445" si="704">M446+M447+M448</f>
        <v>225</v>
      </c>
      <c r="N445" s="283">
        <f t="shared" si="704"/>
        <v>200</v>
      </c>
      <c r="O445" s="283">
        <f t="shared" si="704"/>
        <v>200</v>
      </c>
      <c r="P445" s="283">
        <f t="shared" si="704"/>
        <v>175</v>
      </c>
      <c r="Q445" s="117">
        <f t="shared" si="625"/>
        <v>800</v>
      </c>
      <c r="R445" s="117">
        <f t="shared" si="626"/>
        <v>0</v>
      </c>
      <c r="S445" s="283">
        <f t="shared" si="701"/>
        <v>800</v>
      </c>
      <c r="T445" s="283">
        <f t="shared" si="701"/>
        <v>800</v>
      </c>
      <c r="U445" s="283">
        <f t="shared" si="701"/>
        <v>800</v>
      </c>
    </row>
    <row r="446" spans="1:21" ht="15" hidden="1" customHeight="1">
      <c r="A446" s="34"/>
      <c r="B446" s="33" t="s">
        <v>155</v>
      </c>
      <c r="C446" s="12">
        <v>10</v>
      </c>
      <c r="D446" s="68"/>
      <c r="E446" s="197"/>
      <c r="F446" s="68"/>
      <c r="G446" s="68"/>
      <c r="H446" s="68"/>
      <c r="I446" s="197"/>
      <c r="J446" s="197"/>
      <c r="K446" s="197"/>
      <c r="L446" s="282"/>
      <c r="M446" s="282"/>
      <c r="N446" s="282"/>
      <c r="O446" s="282"/>
      <c r="P446" s="282"/>
      <c r="Q446" s="117">
        <f t="shared" si="625"/>
        <v>0</v>
      </c>
      <c r="R446" s="117">
        <f t="shared" si="626"/>
        <v>0</v>
      </c>
      <c r="S446" s="282"/>
      <c r="T446" s="282"/>
      <c r="U446" s="282"/>
    </row>
    <row r="447" spans="1:21" ht="15">
      <c r="A447" s="34"/>
      <c r="B447" s="33" t="s">
        <v>588</v>
      </c>
      <c r="C447" s="12">
        <v>20</v>
      </c>
      <c r="D447" s="68">
        <v>918</v>
      </c>
      <c r="E447" s="197">
        <v>852</v>
      </c>
      <c r="F447" s="68">
        <v>950</v>
      </c>
      <c r="G447" s="68">
        <v>950</v>
      </c>
      <c r="H447" s="68">
        <v>950</v>
      </c>
      <c r="I447" s="197">
        <v>1207</v>
      </c>
      <c r="J447" s="197">
        <v>800</v>
      </c>
      <c r="K447" s="197">
        <v>1237</v>
      </c>
      <c r="L447" s="282">
        <v>800</v>
      </c>
      <c r="M447" s="282">
        <v>225</v>
      </c>
      <c r="N447" s="282">
        <v>200</v>
      </c>
      <c r="O447" s="282">
        <v>200</v>
      </c>
      <c r="P447" s="282">
        <v>175</v>
      </c>
      <c r="Q447" s="117">
        <f t="shared" si="625"/>
        <v>800</v>
      </c>
      <c r="R447" s="117">
        <f t="shared" si="626"/>
        <v>0</v>
      </c>
      <c r="S447" s="282">
        <v>800</v>
      </c>
      <c r="T447" s="282">
        <v>800</v>
      </c>
      <c r="U447" s="282">
        <v>800</v>
      </c>
    </row>
    <row r="448" spans="1:21" ht="15" hidden="1">
      <c r="A448" s="34"/>
      <c r="B448" s="33" t="s">
        <v>241</v>
      </c>
      <c r="C448" s="12">
        <v>59.02</v>
      </c>
      <c r="D448" s="68"/>
      <c r="E448" s="197"/>
      <c r="F448" s="68">
        <v>0</v>
      </c>
      <c r="G448" s="68">
        <v>0</v>
      </c>
      <c r="H448" s="68">
        <v>0</v>
      </c>
      <c r="I448" s="197"/>
      <c r="J448" s="197"/>
      <c r="K448" s="197"/>
      <c r="L448" s="282"/>
      <c r="M448" s="282"/>
      <c r="N448" s="282"/>
      <c r="O448" s="282"/>
      <c r="P448" s="282"/>
      <c r="Q448" s="117">
        <f t="shared" si="625"/>
        <v>0</v>
      </c>
      <c r="R448" s="117">
        <f t="shared" si="626"/>
        <v>0</v>
      </c>
      <c r="S448" s="282"/>
      <c r="T448" s="282"/>
      <c r="U448" s="282"/>
    </row>
    <row r="449" spans="1:21" ht="14.25">
      <c r="A449" s="34"/>
      <c r="B449" s="26" t="s">
        <v>165</v>
      </c>
      <c r="C449" s="12"/>
      <c r="D449" s="73">
        <f t="shared" ref="D449:U449" si="705">D450</f>
        <v>211</v>
      </c>
      <c r="E449" s="73">
        <f t="shared" si="705"/>
        <v>24</v>
      </c>
      <c r="F449" s="73">
        <f t="shared" si="705"/>
        <v>341</v>
      </c>
      <c r="G449" s="73">
        <f t="shared" si="705"/>
        <v>25</v>
      </c>
      <c r="H449" s="73">
        <f t="shared" si="705"/>
        <v>341</v>
      </c>
      <c r="I449" s="73">
        <f t="shared" si="705"/>
        <v>609</v>
      </c>
      <c r="J449" s="73">
        <f t="shared" si="705"/>
        <v>316</v>
      </c>
      <c r="K449" s="73">
        <f t="shared" si="705"/>
        <v>609</v>
      </c>
      <c r="L449" s="292">
        <f t="shared" si="705"/>
        <v>316</v>
      </c>
      <c r="M449" s="292">
        <f t="shared" si="705"/>
        <v>316</v>
      </c>
      <c r="N449" s="292">
        <f t="shared" si="705"/>
        <v>0</v>
      </c>
      <c r="O449" s="292">
        <f t="shared" si="705"/>
        <v>0</v>
      </c>
      <c r="P449" s="292">
        <f t="shared" si="705"/>
        <v>0</v>
      </c>
      <c r="Q449" s="117">
        <f t="shared" si="625"/>
        <v>316</v>
      </c>
      <c r="R449" s="117">
        <f t="shared" si="626"/>
        <v>0</v>
      </c>
      <c r="S449" s="292">
        <f t="shared" si="705"/>
        <v>0</v>
      </c>
      <c r="T449" s="292">
        <f t="shared" si="705"/>
        <v>0</v>
      </c>
      <c r="U449" s="292">
        <f t="shared" si="705"/>
        <v>0</v>
      </c>
    </row>
    <row r="450" spans="1:21" ht="14.25" customHeight="1">
      <c r="A450" s="34"/>
      <c r="B450" s="33" t="s">
        <v>194</v>
      </c>
      <c r="C450" s="12">
        <v>70</v>
      </c>
      <c r="D450" s="68">
        <v>211</v>
      </c>
      <c r="E450" s="197">
        <v>24</v>
      </c>
      <c r="F450" s="68">
        <v>341</v>
      </c>
      <c r="G450" s="68">
        <v>25</v>
      </c>
      <c r="H450" s="68">
        <v>341</v>
      </c>
      <c r="I450" s="197">
        <v>609</v>
      </c>
      <c r="J450" s="197">
        <v>316</v>
      </c>
      <c r="K450" s="197">
        <v>609</v>
      </c>
      <c r="L450" s="282">
        <v>316</v>
      </c>
      <c r="M450" s="282">
        <v>316</v>
      </c>
      <c r="N450" s="282"/>
      <c r="O450" s="282"/>
      <c r="P450" s="282"/>
      <c r="Q450" s="117">
        <f t="shared" si="625"/>
        <v>316</v>
      </c>
      <c r="R450" s="117">
        <f t="shared" si="626"/>
        <v>0</v>
      </c>
      <c r="S450" s="282"/>
      <c r="T450" s="282"/>
      <c r="U450" s="282"/>
    </row>
    <row r="451" spans="1:21" ht="15" hidden="1" customHeight="1">
      <c r="A451" s="34"/>
      <c r="B451" s="33" t="s">
        <v>246</v>
      </c>
      <c r="C451" s="12" t="s">
        <v>475</v>
      </c>
      <c r="D451" s="68"/>
      <c r="E451" s="197"/>
      <c r="F451" s="68"/>
      <c r="G451" s="68"/>
      <c r="H451" s="68"/>
      <c r="I451" s="197"/>
      <c r="J451" s="197"/>
      <c r="K451" s="197"/>
      <c r="L451" s="282"/>
      <c r="M451" s="282"/>
      <c r="N451" s="282"/>
      <c r="O451" s="282"/>
      <c r="P451" s="282"/>
      <c r="Q451" s="117">
        <f t="shared" si="625"/>
        <v>0</v>
      </c>
      <c r="R451" s="117">
        <f t="shared" si="626"/>
        <v>0</v>
      </c>
      <c r="S451" s="282"/>
      <c r="T451" s="282"/>
      <c r="U451" s="282"/>
    </row>
    <row r="452" spans="1:21" ht="15" hidden="1" customHeight="1">
      <c r="A452" s="34"/>
      <c r="B452" s="33" t="s">
        <v>201</v>
      </c>
      <c r="C452" s="12" t="s">
        <v>202</v>
      </c>
      <c r="D452" s="68"/>
      <c r="E452" s="197"/>
      <c r="F452" s="68"/>
      <c r="G452" s="68"/>
      <c r="H452" s="68"/>
      <c r="I452" s="197"/>
      <c r="J452" s="197"/>
      <c r="K452" s="197"/>
      <c r="L452" s="282"/>
      <c r="M452" s="282"/>
      <c r="N452" s="282"/>
      <c r="O452" s="282"/>
      <c r="P452" s="282"/>
      <c r="Q452" s="117">
        <f t="shared" si="625"/>
        <v>0</v>
      </c>
      <c r="R452" s="117">
        <f t="shared" si="626"/>
        <v>0</v>
      </c>
      <c r="S452" s="282"/>
      <c r="T452" s="282"/>
      <c r="U452" s="282"/>
    </row>
    <row r="453" spans="1:21" ht="24" customHeight="1">
      <c r="A453" s="41" t="s">
        <v>5</v>
      </c>
      <c r="B453" s="43" t="s">
        <v>596</v>
      </c>
      <c r="C453" s="94">
        <v>64.02</v>
      </c>
      <c r="D453" s="76">
        <f t="shared" ref="D453:U453" si="706">D471+D570+D632+D735</f>
        <v>236705.08000000002</v>
      </c>
      <c r="E453" s="76">
        <f t="shared" ref="E453:F453" si="707">E471+E570+E632+E735</f>
        <v>246041.28000000003</v>
      </c>
      <c r="F453" s="76">
        <f t="shared" si="707"/>
        <v>291097.8</v>
      </c>
      <c r="G453" s="76">
        <f t="shared" si="706"/>
        <v>266155</v>
      </c>
      <c r="H453" s="76">
        <f t="shared" si="706"/>
        <v>291096.8</v>
      </c>
      <c r="I453" s="76">
        <f t="shared" si="706"/>
        <v>388386.76</v>
      </c>
      <c r="J453" s="76">
        <f t="shared" si="706"/>
        <v>259497</v>
      </c>
      <c r="K453" s="76">
        <f t="shared" ref="K453:L453" si="708">K471+K570+K632+K735</f>
        <v>333824.76</v>
      </c>
      <c r="L453" s="300">
        <f t="shared" si="708"/>
        <v>225039</v>
      </c>
      <c r="M453" s="300">
        <f t="shared" ref="M453:P453" si="709">M471+M570+M632+M735</f>
        <v>69582</v>
      </c>
      <c r="N453" s="300">
        <f t="shared" si="709"/>
        <v>57596</v>
      </c>
      <c r="O453" s="300">
        <f t="shared" si="709"/>
        <v>58395</v>
      </c>
      <c r="P453" s="300">
        <f t="shared" si="709"/>
        <v>39466</v>
      </c>
      <c r="Q453" s="117">
        <f t="shared" si="625"/>
        <v>225039</v>
      </c>
      <c r="R453" s="117">
        <f t="shared" si="626"/>
        <v>0</v>
      </c>
      <c r="S453" s="300">
        <f t="shared" si="706"/>
        <v>217689</v>
      </c>
      <c r="T453" s="300">
        <f t="shared" si="706"/>
        <v>209747</v>
      </c>
      <c r="U453" s="300">
        <f t="shared" si="706"/>
        <v>206039</v>
      </c>
    </row>
    <row r="454" spans="1:21" ht="19.5" customHeight="1">
      <c r="A454" s="34"/>
      <c r="B454" s="24" t="s">
        <v>153</v>
      </c>
      <c r="C454" s="95"/>
      <c r="D454" s="73">
        <f t="shared" ref="D454:U454" si="710">D472+D572+D580+D633+D736</f>
        <v>218083</v>
      </c>
      <c r="E454" s="73">
        <f t="shared" ref="E454:F454" si="711">E472+E572+E580+E633+E736</f>
        <v>220101.97000000003</v>
      </c>
      <c r="F454" s="73">
        <f t="shared" si="711"/>
        <v>243054.2</v>
      </c>
      <c r="G454" s="73">
        <f t="shared" si="710"/>
        <v>225149</v>
      </c>
      <c r="H454" s="73">
        <f t="shared" si="710"/>
        <v>243053.5</v>
      </c>
      <c r="I454" s="73">
        <f t="shared" si="710"/>
        <v>261220.6</v>
      </c>
      <c r="J454" s="73">
        <f t="shared" si="710"/>
        <v>223360</v>
      </c>
      <c r="K454" s="73">
        <f t="shared" ref="K454:L454" si="712">K472+K572+K580+K633+K736</f>
        <v>253606.6</v>
      </c>
      <c r="L454" s="292">
        <f t="shared" si="712"/>
        <v>194698</v>
      </c>
      <c r="M454" s="292">
        <f t="shared" ref="M454:P454" si="713">M472+M572+M580+M633+M736</f>
        <v>52959</v>
      </c>
      <c r="N454" s="292">
        <f t="shared" si="713"/>
        <v>53017</v>
      </c>
      <c r="O454" s="292">
        <f t="shared" si="713"/>
        <v>53816</v>
      </c>
      <c r="P454" s="292">
        <f t="shared" si="713"/>
        <v>34906</v>
      </c>
      <c r="Q454" s="117">
        <f t="shared" si="625"/>
        <v>194698</v>
      </c>
      <c r="R454" s="117">
        <f t="shared" si="626"/>
        <v>0</v>
      </c>
      <c r="S454" s="292">
        <f t="shared" si="710"/>
        <v>204660</v>
      </c>
      <c r="T454" s="292">
        <f t="shared" si="710"/>
        <v>206137</v>
      </c>
      <c r="U454" s="292">
        <f t="shared" si="710"/>
        <v>206039</v>
      </c>
    </row>
    <row r="455" spans="1:21" ht="15">
      <c r="A455" s="34"/>
      <c r="B455" s="33" t="s">
        <v>154</v>
      </c>
      <c r="C455" s="12">
        <v>1</v>
      </c>
      <c r="D455" s="69">
        <f t="shared" ref="D455:U455" si="714">D473+D573+D581+D634+D737</f>
        <v>217638</v>
      </c>
      <c r="E455" s="69">
        <f t="shared" ref="E455:F455" si="715">E473+E573+E581+E634+E737</f>
        <v>220469.97000000003</v>
      </c>
      <c r="F455" s="69">
        <f t="shared" si="715"/>
        <v>243407.2</v>
      </c>
      <c r="G455" s="69">
        <f t="shared" si="714"/>
        <v>225149</v>
      </c>
      <c r="H455" s="69">
        <f t="shared" si="714"/>
        <v>243406.5</v>
      </c>
      <c r="I455" s="69">
        <f t="shared" si="714"/>
        <v>261220.6</v>
      </c>
      <c r="J455" s="69">
        <f t="shared" si="714"/>
        <v>223360</v>
      </c>
      <c r="K455" s="69">
        <f t="shared" ref="K455:L455" si="716">K473+K573+K581+K634+K737</f>
        <v>253606.6</v>
      </c>
      <c r="L455" s="283">
        <f t="shared" si="716"/>
        <v>194698</v>
      </c>
      <c r="M455" s="283">
        <f t="shared" ref="M455:P455" si="717">M473+M573+M581+M634+M737</f>
        <v>52959</v>
      </c>
      <c r="N455" s="283">
        <f t="shared" si="717"/>
        <v>53017</v>
      </c>
      <c r="O455" s="283">
        <f t="shared" si="717"/>
        <v>53816</v>
      </c>
      <c r="P455" s="283">
        <f t="shared" si="717"/>
        <v>34906</v>
      </c>
      <c r="Q455" s="117">
        <f t="shared" si="625"/>
        <v>194698</v>
      </c>
      <c r="R455" s="117">
        <f t="shared" si="626"/>
        <v>0</v>
      </c>
      <c r="S455" s="283">
        <f t="shared" si="714"/>
        <v>204660</v>
      </c>
      <c r="T455" s="283">
        <f t="shared" si="714"/>
        <v>206137</v>
      </c>
      <c r="U455" s="283">
        <f t="shared" si="714"/>
        <v>206039</v>
      </c>
    </row>
    <row r="456" spans="1:21" ht="15">
      <c r="A456" s="34"/>
      <c r="B456" s="33" t="s">
        <v>155</v>
      </c>
      <c r="C456" s="12">
        <v>10</v>
      </c>
      <c r="D456" s="69">
        <f t="shared" ref="D456:U456" si="718">D474+D738</f>
        <v>100870</v>
      </c>
      <c r="E456" s="69">
        <f t="shared" ref="E456:F456" si="719">E474+E738</f>
        <v>105749.43999999999</v>
      </c>
      <c r="F456" s="69">
        <f t="shared" si="719"/>
        <v>117852</v>
      </c>
      <c r="G456" s="69">
        <f t="shared" si="718"/>
        <v>97536</v>
      </c>
      <c r="H456" s="69">
        <f t="shared" si="718"/>
        <v>117852</v>
      </c>
      <c r="I456" s="69">
        <f t="shared" si="718"/>
        <v>116712</v>
      </c>
      <c r="J456" s="69">
        <f t="shared" si="718"/>
        <v>108949</v>
      </c>
      <c r="K456" s="69">
        <f t="shared" ref="K456:L456" si="720">K474+K738</f>
        <v>113345</v>
      </c>
      <c r="L456" s="283">
        <f t="shared" si="720"/>
        <v>86650</v>
      </c>
      <c r="M456" s="283">
        <f t="shared" ref="M456:P456" si="721">M474+M738</f>
        <v>26810</v>
      </c>
      <c r="N456" s="283">
        <f t="shared" si="721"/>
        <v>26900</v>
      </c>
      <c r="O456" s="283">
        <f t="shared" si="721"/>
        <v>26460</v>
      </c>
      <c r="P456" s="283">
        <f t="shared" si="721"/>
        <v>6480</v>
      </c>
      <c r="Q456" s="117">
        <f t="shared" si="625"/>
        <v>86650</v>
      </c>
      <c r="R456" s="117">
        <f t="shared" si="626"/>
        <v>0</v>
      </c>
      <c r="S456" s="283">
        <f t="shared" si="718"/>
        <v>94275</v>
      </c>
      <c r="T456" s="283">
        <f t="shared" si="718"/>
        <v>94400</v>
      </c>
      <c r="U456" s="283">
        <f t="shared" si="718"/>
        <v>94250</v>
      </c>
    </row>
    <row r="457" spans="1:21" ht="15">
      <c r="A457" s="34"/>
      <c r="B457" s="33" t="s">
        <v>588</v>
      </c>
      <c r="C457" s="12">
        <v>20</v>
      </c>
      <c r="D457" s="69">
        <f t="shared" ref="D457:U457" si="722">D475+D635+D739</f>
        <v>20276</v>
      </c>
      <c r="E457" s="69">
        <f t="shared" ref="E457:F457" si="723">E475+E635+E739</f>
        <v>18669.39</v>
      </c>
      <c r="F457" s="69">
        <f t="shared" si="723"/>
        <v>21571.300000000003</v>
      </c>
      <c r="G457" s="69">
        <f t="shared" si="722"/>
        <v>20182</v>
      </c>
      <c r="H457" s="69">
        <f t="shared" si="722"/>
        <v>21571.230000000003</v>
      </c>
      <c r="I457" s="69">
        <f t="shared" si="722"/>
        <v>25671</v>
      </c>
      <c r="J457" s="69">
        <f t="shared" si="722"/>
        <v>18994</v>
      </c>
      <c r="K457" s="69">
        <f t="shared" ref="K457:L457" si="724">K475+K635+K739</f>
        <v>25692</v>
      </c>
      <c r="L457" s="283">
        <f t="shared" si="724"/>
        <v>15100</v>
      </c>
      <c r="M457" s="283">
        <f t="shared" ref="M457:P457" si="725">M475+M635+M739</f>
        <v>4082</v>
      </c>
      <c r="N457" s="283">
        <f t="shared" si="725"/>
        <v>3895</v>
      </c>
      <c r="O457" s="283">
        <f t="shared" si="725"/>
        <v>3825</v>
      </c>
      <c r="P457" s="283">
        <f t="shared" si="725"/>
        <v>3298</v>
      </c>
      <c r="Q457" s="117">
        <f t="shared" si="625"/>
        <v>15100</v>
      </c>
      <c r="R457" s="117">
        <f t="shared" si="626"/>
        <v>0</v>
      </c>
      <c r="S457" s="283">
        <f t="shared" si="722"/>
        <v>15233</v>
      </c>
      <c r="T457" s="283">
        <f t="shared" si="722"/>
        <v>15286</v>
      </c>
      <c r="U457" s="283">
        <f t="shared" si="722"/>
        <v>15338</v>
      </c>
    </row>
    <row r="458" spans="1:21" ht="15">
      <c r="A458" s="34"/>
      <c r="B458" s="33" t="s">
        <v>251</v>
      </c>
      <c r="C458" s="12">
        <v>51</v>
      </c>
      <c r="D458" s="69">
        <f t="shared" ref="D458:U458" si="726">D574+D582+D636+D740+D476</f>
        <v>70264</v>
      </c>
      <c r="E458" s="69">
        <f t="shared" ref="E458:F458" si="727">E574+E582+E636+E740+E476</f>
        <v>74333</v>
      </c>
      <c r="F458" s="69">
        <f t="shared" si="727"/>
        <v>78188.899999999994</v>
      </c>
      <c r="G458" s="69">
        <f t="shared" si="726"/>
        <v>76239</v>
      </c>
      <c r="H458" s="69">
        <f t="shared" si="726"/>
        <v>78188.899999999994</v>
      </c>
      <c r="I458" s="69">
        <f t="shared" si="726"/>
        <v>85738</v>
      </c>
      <c r="J458" s="69">
        <f t="shared" si="726"/>
        <v>62617</v>
      </c>
      <c r="K458" s="69">
        <f t="shared" ref="K458:L458" si="728">K574+K582+K636+K740+K476</f>
        <v>81476</v>
      </c>
      <c r="L458" s="283">
        <f t="shared" si="728"/>
        <v>60351</v>
      </c>
      <c r="M458" s="283">
        <f t="shared" ref="M458:P458" si="729">M574+M582+M636+M740+M476</f>
        <v>17563</v>
      </c>
      <c r="N458" s="283">
        <f t="shared" si="729"/>
        <v>14807</v>
      </c>
      <c r="O458" s="283">
        <f t="shared" si="729"/>
        <v>15751</v>
      </c>
      <c r="P458" s="283">
        <f t="shared" si="729"/>
        <v>12230</v>
      </c>
      <c r="Q458" s="117">
        <f t="shared" si="625"/>
        <v>60351</v>
      </c>
      <c r="R458" s="117">
        <f t="shared" si="626"/>
        <v>0</v>
      </c>
      <c r="S458" s="283">
        <f t="shared" si="726"/>
        <v>60316</v>
      </c>
      <c r="T458" s="283">
        <f t="shared" si="726"/>
        <v>61615</v>
      </c>
      <c r="U458" s="283">
        <f t="shared" si="726"/>
        <v>61615</v>
      </c>
    </row>
    <row r="459" spans="1:21" ht="15">
      <c r="A459" s="34"/>
      <c r="B459" s="33" t="s">
        <v>616</v>
      </c>
      <c r="C459" s="12">
        <v>55</v>
      </c>
      <c r="D459" s="69"/>
      <c r="E459" s="69">
        <f t="shared" ref="E459" si="730">E741</f>
        <v>2</v>
      </c>
      <c r="F459" s="69">
        <f>F741</f>
        <v>54</v>
      </c>
      <c r="G459" s="69">
        <f>G741</f>
        <v>0</v>
      </c>
      <c r="H459" s="69">
        <f>H741</f>
        <v>54</v>
      </c>
      <c r="I459" s="69">
        <f t="shared" ref="I459:U459" si="731">I741</f>
        <v>0</v>
      </c>
      <c r="J459" s="69">
        <f t="shared" si="731"/>
        <v>0</v>
      </c>
      <c r="K459" s="69">
        <f t="shared" ref="K459:L459" si="732">K741</f>
        <v>0</v>
      </c>
      <c r="L459" s="283">
        <f t="shared" si="732"/>
        <v>0</v>
      </c>
      <c r="M459" s="283">
        <f t="shared" ref="M459:P459" si="733">M741</f>
        <v>0</v>
      </c>
      <c r="N459" s="283">
        <f t="shared" si="733"/>
        <v>0</v>
      </c>
      <c r="O459" s="283">
        <f t="shared" si="733"/>
        <v>0</v>
      </c>
      <c r="P459" s="283">
        <f t="shared" si="733"/>
        <v>0</v>
      </c>
      <c r="Q459" s="117">
        <f t="shared" si="625"/>
        <v>0</v>
      </c>
      <c r="R459" s="117">
        <f t="shared" si="626"/>
        <v>0</v>
      </c>
      <c r="S459" s="283">
        <f t="shared" si="731"/>
        <v>0</v>
      </c>
      <c r="T459" s="283">
        <f t="shared" si="731"/>
        <v>0</v>
      </c>
      <c r="U459" s="283">
        <f t="shared" si="731"/>
        <v>0</v>
      </c>
    </row>
    <row r="460" spans="1:21" ht="15">
      <c r="A460" s="34"/>
      <c r="B460" s="33" t="s">
        <v>161</v>
      </c>
      <c r="C460" s="12">
        <v>57</v>
      </c>
      <c r="D460" s="69">
        <f t="shared" ref="D460:U460" si="734">D477+D742</f>
        <v>12928</v>
      </c>
      <c r="E460" s="69">
        <f t="shared" ref="E460:F460" si="735">E477+E742</f>
        <v>8150.2699999999995</v>
      </c>
      <c r="F460" s="69">
        <f t="shared" si="735"/>
        <v>10451</v>
      </c>
      <c r="G460" s="69">
        <f t="shared" si="734"/>
        <v>15840</v>
      </c>
      <c r="H460" s="69">
        <f t="shared" si="734"/>
        <v>10450.369999999999</v>
      </c>
      <c r="I460" s="69">
        <f t="shared" si="734"/>
        <v>18680.599999999999</v>
      </c>
      <c r="J460" s="69">
        <f t="shared" si="734"/>
        <v>18581</v>
      </c>
      <c r="K460" s="69">
        <f t="shared" ref="K460:L460" si="736">K477+K742</f>
        <v>18674.599999999999</v>
      </c>
      <c r="L460" s="283">
        <f t="shared" si="736"/>
        <v>16925</v>
      </c>
      <c r="M460" s="283">
        <f t="shared" ref="M460:P460" si="737">M477+M742</f>
        <v>829</v>
      </c>
      <c r="N460" s="283">
        <f t="shared" si="737"/>
        <v>3540</v>
      </c>
      <c r="O460" s="283">
        <f t="shared" si="737"/>
        <v>3841</v>
      </c>
      <c r="P460" s="283">
        <f t="shared" si="737"/>
        <v>8715</v>
      </c>
      <c r="Q460" s="117">
        <f t="shared" si="625"/>
        <v>16925</v>
      </c>
      <c r="R460" s="117">
        <f t="shared" si="626"/>
        <v>0</v>
      </c>
      <c r="S460" s="283">
        <f t="shared" si="734"/>
        <v>17335</v>
      </c>
      <c r="T460" s="283">
        <f t="shared" si="734"/>
        <v>17335</v>
      </c>
      <c r="U460" s="283">
        <f t="shared" si="734"/>
        <v>17335</v>
      </c>
    </row>
    <row r="461" spans="1:21" ht="14.25" customHeight="1">
      <c r="A461" s="34"/>
      <c r="B461" s="33" t="s">
        <v>162</v>
      </c>
      <c r="C461" s="12">
        <v>59</v>
      </c>
      <c r="D461" s="69">
        <f>D637+D743+D502+D478</f>
        <v>14428</v>
      </c>
      <c r="E461" s="69">
        <f t="shared" ref="E461:U461" si="738">E637+E743+E502+E478</f>
        <v>13986.74</v>
      </c>
      <c r="F461" s="69">
        <f t="shared" si="738"/>
        <v>15290</v>
      </c>
      <c r="G461" s="69">
        <f t="shared" si="738"/>
        <v>15352</v>
      </c>
      <c r="H461" s="69">
        <f t="shared" si="738"/>
        <v>15290</v>
      </c>
      <c r="I461" s="69">
        <f t="shared" si="738"/>
        <v>14419</v>
      </c>
      <c r="J461" s="69">
        <f t="shared" si="738"/>
        <v>14219</v>
      </c>
      <c r="K461" s="69">
        <f t="shared" si="738"/>
        <v>14419</v>
      </c>
      <c r="L461" s="283">
        <f t="shared" si="738"/>
        <v>15672</v>
      </c>
      <c r="M461" s="283">
        <f t="shared" ref="M461:P461" si="739">M637+M743+M502+M478</f>
        <v>3675</v>
      </c>
      <c r="N461" s="283">
        <f t="shared" si="739"/>
        <v>3875</v>
      </c>
      <c r="O461" s="283">
        <f t="shared" si="739"/>
        <v>3939</v>
      </c>
      <c r="P461" s="283">
        <f t="shared" si="739"/>
        <v>4183</v>
      </c>
      <c r="Q461" s="117">
        <f t="shared" ref="Q461:Q524" si="740">M461+N461+O461+P461</f>
        <v>15672</v>
      </c>
      <c r="R461" s="117">
        <f t="shared" ref="R461:R524" si="741">L461-Q461</f>
        <v>0</v>
      </c>
      <c r="S461" s="283">
        <f t="shared" si="738"/>
        <v>17501</v>
      </c>
      <c r="T461" s="283">
        <f t="shared" si="738"/>
        <v>17501</v>
      </c>
      <c r="U461" s="283">
        <f t="shared" si="738"/>
        <v>17501</v>
      </c>
    </row>
    <row r="462" spans="1:21" ht="14.25" customHeight="1">
      <c r="A462" s="34"/>
      <c r="B462" s="33" t="s">
        <v>164</v>
      </c>
      <c r="C462" s="84" t="s">
        <v>252</v>
      </c>
      <c r="D462" s="69">
        <f t="shared" ref="D462:U462" si="742">D479</f>
        <v>0</v>
      </c>
      <c r="E462" s="69">
        <f t="shared" si="742"/>
        <v>-1.6</v>
      </c>
      <c r="F462" s="69">
        <f t="shared" ref="F462" si="743">F479</f>
        <v>0</v>
      </c>
      <c r="G462" s="69">
        <f t="shared" si="742"/>
        <v>0</v>
      </c>
      <c r="H462" s="69">
        <f t="shared" si="742"/>
        <v>0</v>
      </c>
      <c r="I462" s="69">
        <f t="shared" si="742"/>
        <v>0</v>
      </c>
      <c r="J462" s="69">
        <f t="shared" si="742"/>
        <v>0</v>
      </c>
      <c r="K462" s="69">
        <f t="shared" ref="K462:L462" si="744">K479</f>
        <v>0</v>
      </c>
      <c r="L462" s="283">
        <f t="shared" si="744"/>
        <v>0</v>
      </c>
      <c r="M462" s="283">
        <f t="shared" ref="M462:P462" si="745">M479</f>
        <v>0</v>
      </c>
      <c r="N462" s="283">
        <f t="shared" si="745"/>
        <v>0</v>
      </c>
      <c r="O462" s="283">
        <f t="shared" si="745"/>
        <v>0</v>
      </c>
      <c r="P462" s="283">
        <f t="shared" si="745"/>
        <v>0</v>
      </c>
      <c r="Q462" s="117">
        <f t="shared" si="740"/>
        <v>0</v>
      </c>
      <c r="R462" s="117">
        <f t="shared" si="741"/>
        <v>0</v>
      </c>
      <c r="S462" s="283">
        <f t="shared" si="742"/>
        <v>0</v>
      </c>
      <c r="T462" s="283">
        <f t="shared" si="742"/>
        <v>0</v>
      </c>
      <c r="U462" s="283">
        <f t="shared" si="742"/>
        <v>0</v>
      </c>
    </row>
    <row r="463" spans="1:21" ht="14.25" customHeight="1">
      <c r="A463" s="34"/>
      <c r="B463" s="26" t="s">
        <v>165</v>
      </c>
      <c r="C463" s="12"/>
      <c r="D463" s="73">
        <f t="shared" ref="D463:U463" si="746">D480+D576+D639+D745+D615+D618+D621+D624+D627+D630</f>
        <v>18622.080000000002</v>
      </c>
      <c r="E463" s="73">
        <f t="shared" ref="E463:F463" si="747">E480+E576+E639+E745+E615+E618+E621+E624+E627+E630</f>
        <v>25571.31</v>
      </c>
      <c r="F463" s="73">
        <f t="shared" si="747"/>
        <v>48043.6</v>
      </c>
      <c r="G463" s="73">
        <f t="shared" si="746"/>
        <v>41006</v>
      </c>
      <c r="H463" s="73">
        <f t="shared" si="746"/>
        <v>48043.3</v>
      </c>
      <c r="I463" s="73">
        <f t="shared" si="746"/>
        <v>127166.16</v>
      </c>
      <c r="J463" s="73">
        <f t="shared" si="746"/>
        <v>36137</v>
      </c>
      <c r="K463" s="73">
        <f t="shared" ref="K463:L463" si="748">K480+K576+K639+K745+K615+K618+K621+K624+K627+K630</f>
        <v>80218.16</v>
      </c>
      <c r="L463" s="292">
        <f t="shared" si="748"/>
        <v>30341</v>
      </c>
      <c r="M463" s="292">
        <f t="shared" ref="M463:P463" si="749">M480+M576+M639+M745+M615+M618+M621+M624+M627+M630</f>
        <v>16623</v>
      </c>
      <c r="N463" s="292">
        <f t="shared" si="749"/>
        <v>4579</v>
      </c>
      <c r="O463" s="292">
        <f t="shared" si="749"/>
        <v>4579</v>
      </c>
      <c r="P463" s="292">
        <f t="shared" si="749"/>
        <v>4560</v>
      </c>
      <c r="Q463" s="117">
        <f t="shared" si="740"/>
        <v>30341</v>
      </c>
      <c r="R463" s="117">
        <f t="shared" si="741"/>
        <v>0</v>
      </c>
      <c r="S463" s="292">
        <f t="shared" si="746"/>
        <v>13029</v>
      </c>
      <c r="T463" s="292">
        <f t="shared" si="746"/>
        <v>3610</v>
      </c>
      <c r="U463" s="292">
        <f t="shared" si="746"/>
        <v>0</v>
      </c>
    </row>
    <row r="464" spans="1:21" ht="15">
      <c r="A464" s="34"/>
      <c r="B464" s="33" t="s">
        <v>253</v>
      </c>
      <c r="C464" s="12" t="s">
        <v>168</v>
      </c>
      <c r="D464" s="69">
        <f t="shared" ref="D464:U464" si="750">D577</f>
        <v>6559</v>
      </c>
      <c r="E464" s="69">
        <f t="shared" ref="E464:F464" si="751">E577</f>
        <v>15282</v>
      </c>
      <c r="F464" s="69">
        <f t="shared" si="751"/>
        <v>30988.5</v>
      </c>
      <c r="G464" s="69">
        <f t="shared" si="750"/>
        <v>29209</v>
      </c>
      <c r="H464" s="69">
        <f t="shared" si="750"/>
        <v>30988.5</v>
      </c>
      <c r="I464" s="69">
        <f t="shared" si="750"/>
        <v>98997</v>
      </c>
      <c r="J464" s="69">
        <f t="shared" si="750"/>
        <v>15000</v>
      </c>
      <c r="K464" s="69">
        <f t="shared" ref="K464:L464" si="752">K577</f>
        <v>52041</v>
      </c>
      <c r="L464" s="283">
        <f t="shared" si="752"/>
        <v>10000</v>
      </c>
      <c r="M464" s="283">
        <f t="shared" ref="M464:P464" si="753">M577</f>
        <v>10000</v>
      </c>
      <c r="N464" s="283">
        <f t="shared" si="753"/>
        <v>0</v>
      </c>
      <c r="O464" s="283">
        <f t="shared" si="753"/>
        <v>0</v>
      </c>
      <c r="P464" s="283">
        <f t="shared" si="753"/>
        <v>0</v>
      </c>
      <c r="Q464" s="117">
        <f t="shared" si="740"/>
        <v>10000</v>
      </c>
      <c r="R464" s="117">
        <f t="shared" si="741"/>
        <v>0</v>
      </c>
      <c r="S464" s="283">
        <f t="shared" si="750"/>
        <v>0</v>
      </c>
      <c r="T464" s="283">
        <f t="shared" si="750"/>
        <v>0</v>
      </c>
      <c r="U464" s="283">
        <f t="shared" si="750"/>
        <v>0</v>
      </c>
    </row>
    <row r="465" spans="1:21" ht="14.25" customHeight="1">
      <c r="A465" s="34"/>
      <c r="B465" s="33" t="s">
        <v>169</v>
      </c>
      <c r="C465" s="12" t="s">
        <v>170</v>
      </c>
      <c r="D465" s="69">
        <f t="shared" ref="D465:U465" si="754">D578+D616+D619+D622+D625+D628+D631</f>
        <v>5412</v>
      </c>
      <c r="E465" s="69">
        <f t="shared" ref="E465:F465" si="755">E578+E616+E619+E622+E625+E628+E631</f>
        <v>2857</v>
      </c>
      <c r="F465" s="69">
        <f t="shared" si="755"/>
        <v>3822</v>
      </c>
      <c r="G465" s="69">
        <f t="shared" si="754"/>
        <v>0</v>
      </c>
      <c r="H465" s="69">
        <f t="shared" si="754"/>
        <v>3822</v>
      </c>
      <c r="I465" s="69">
        <f t="shared" si="754"/>
        <v>0</v>
      </c>
      <c r="J465" s="69">
        <f t="shared" si="754"/>
        <v>0</v>
      </c>
      <c r="K465" s="69">
        <f t="shared" ref="K465:L465" si="756">K578+K616+K619+K622+K625+K628+K631</f>
        <v>0</v>
      </c>
      <c r="L465" s="283">
        <f t="shared" si="756"/>
        <v>0</v>
      </c>
      <c r="M465" s="283">
        <f t="shared" ref="M465:P465" si="757">M578+M616+M619+M622+M625+M628+M631</f>
        <v>0</v>
      </c>
      <c r="N465" s="283">
        <f t="shared" si="757"/>
        <v>0</v>
      </c>
      <c r="O465" s="283">
        <f t="shared" si="757"/>
        <v>0</v>
      </c>
      <c r="P465" s="283">
        <f t="shared" si="757"/>
        <v>0</v>
      </c>
      <c r="Q465" s="117">
        <f t="shared" si="740"/>
        <v>0</v>
      </c>
      <c r="R465" s="117">
        <f t="shared" si="741"/>
        <v>0</v>
      </c>
      <c r="S465" s="283">
        <f t="shared" si="754"/>
        <v>0</v>
      </c>
      <c r="T465" s="283">
        <f t="shared" si="754"/>
        <v>0</v>
      </c>
      <c r="U465" s="283">
        <f t="shared" si="754"/>
        <v>0</v>
      </c>
    </row>
    <row r="466" spans="1:21" ht="15">
      <c r="A466" s="34"/>
      <c r="B466" s="33" t="s">
        <v>171</v>
      </c>
      <c r="C466" s="12" t="s">
        <v>172</v>
      </c>
      <c r="D466" s="69">
        <f t="shared" ref="D466:U466" si="758">D640+D746</f>
        <v>4006</v>
      </c>
      <c r="E466" s="69">
        <f t="shared" ref="E466:F466" si="759">E640+E746</f>
        <v>1011</v>
      </c>
      <c r="F466" s="69">
        <f t="shared" si="759"/>
        <v>1136</v>
      </c>
      <c r="G466" s="69">
        <f t="shared" si="758"/>
        <v>468</v>
      </c>
      <c r="H466" s="69">
        <f t="shared" si="758"/>
        <v>1136</v>
      </c>
      <c r="I466" s="69">
        <f t="shared" si="758"/>
        <v>2877</v>
      </c>
      <c r="J466" s="69">
        <f t="shared" si="758"/>
        <v>0</v>
      </c>
      <c r="K466" s="69">
        <f t="shared" ref="K466:L466" si="760">K640+K746</f>
        <v>2877</v>
      </c>
      <c r="L466" s="283">
        <f t="shared" si="760"/>
        <v>44</v>
      </c>
      <c r="M466" s="283">
        <f t="shared" ref="M466:P466" si="761">M640+M746</f>
        <v>44</v>
      </c>
      <c r="N466" s="283">
        <f t="shared" si="761"/>
        <v>0</v>
      </c>
      <c r="O466" s="283">
        <f t="shared" si="761"/>
        <v>0</v>
      </c>
      <c r="P466" s="283">
        <f t="shared" si="761"/>
        <v>0</v>
      </c>
      <c r="Q466" s="117">
        <f t="shared" si="740"/>
        <v>44</v>
      </c>
      <c r="R466" s="117">
        <f t="shared" si="741"/>
        <v>0</v>
      </c>
      <c r="S466" s="283">
        <f t="shared" si="758"/>
        <v>0</v>
      </c>
      <c r="T466" s="283">
        <f t="shared" si="758"/>
        <v>0</v>
      </c>
      <c r="U466" s="283">
        <f t="shared" si="758"/>
        <v>0</v>
      </c>
    </row>
    <row r="467" spans="1:21" ht="15" hidden="1" customHeight="1">
      <c r="A467" s="34"/>
      <c r="B467" s="33" t="s">
        <v>254</v>
      </c>
      <c r="C467" s="12">
        <v>55</v>
      </c>
      <c r="D467" s="69">
        <f t="shared" ref="D467:H467" si="762">D724</f>
        <v>0</v>
      </c>
      <c r="E467" s="197"/>
      <c r="F467" s="69">
        <f t="shared" ref="F467" si="763">F724</f>
        <v>0</v>
      </c>
      <c r="G467" s="69">
        <f t="shared" si="762"/>
        <v>0</v>
      </c>
      <c r="H467" s="69">
        <f t="shared" si="762"/>
        <v>0</v>
      </c>
      <c r="I467" s="197"/>
      <c r="J467" s="197"/>
      <c r="K467" s="197"/>
      <c r="L467" s="282"/>
      <c r="M467" s="282"/>
      <c r="N467" s="282"/>
      <c r="O467" s="282"/>
      <c r="P467" s="282"/>
      <c r="Q467" s="117">
        <f t="shared" si="740"/>
        <v>0</v>
      </c>
      <c r="R467" s="117">
        <f t="shared" si="741"/>
        <v>0</v>
      </c>
      <c r="S467" s="282"/>
      <c r="T467" s="282"/>
      <c r="U467" s="282"/>
    </row>
    <row r="468" spans="1:21" ht="14.25">
      <c r="A468" s="34"/>
      <c r="B468" s="26" t="s">
        <v>174</v>
      </c>
      <c r="C468" s="12">
        <v>56</v>
      </c>
      <c r="D468" s="69">
        <f t="shared" ref="D468:U468" si="764">D481+D642+D747</f>
        <v>160</v>
      </c>
      <c r="E468" s="69">
        <f t="shared" ref="E468:F468" si="765">E481+E642+E747</f>
        <v>106</v>
      </c>
      <c r="F468" s="69">
        <f t="shared" si="765"/>
        <v>160</v>
      </c>
      <c r="G468" s="69">
        <f t="shared" si="764"/>
        <v>160</v>
      </c>
      <c r="H468" s="69">
        <f t="shared" si="764"/>
        <v>160</v>
      </c>
      <c r="I468" s="69">
        <f t="shared" si="764"/>
        <v>0</v>
      </c>
      <c r="J468" s="69">
        <f t="shared" si="764"/>
        <v>0</v>
      </c>
      <c r="K468" s="69">
        <f t="shared" ref="K468:L468" si="766">K481+K642+K747</f>
        <v>0</v>
      </c>
      <c r="L468" s="283">
        <f t="shared" si="766"/>
        <v>0</v>
      </c>
      <c r="M468" s="283">
        <f t="shared" ref="M468:P468" si="767">M481+M642+M747</f>
        <v>0</v>
      </c>
      <c r="N468" s="283">
        <f t="shared" si="767"/>
        <v>0</v>
      </c>
      <c r="O468" s="283">
        <f t="shared" si="767"/>
        <v>0</v>
      </c>
      <c r="P468" s="283">
        <f t="shared" si="767"/>
        <v>0</v>
      </c>
      <c r="Q468" s="117">
        <f t="shared" si="740"/>
        <v>0</v>
      </c>
      <c r="R468" s="117">
        <f t="shared" si="741"/>
        <v>0</v>
      </c>
      <c r="S468" s="283">
        <f t="shared" si="764"/>
        <v>0</v>
      </c>
      <c r="T468" s="283">
        <f t="shared" si="764"/>
        <v>0</v>
      </c>
      <c r="U468" s="283">
        <f t="shared" si="764"/>
        <v>0</v>
      </c>
    </row>
    <row r="469" spans="1:21" ht="14.25">
      <c r="A469" s="34"/>
      <c r="B469" s="26" t="s">
        <v>174</v>
      </c>
      <c r="C469" s="12">
        <v>58</v>
      </c>
      <c r="D469" s="69">
        <f t="shared" ref="D469:U469" si="768">D748</f>
        <v>915.08</v>
      </c>
      <c r="E469" s="69">
        <f t="shared" ref="E469:F469" si="769">E748</f>
        <v>5723.4100000000008</v>
      </c>
      <c r="F469" s="69">
        <f t="shared" si="769"/>
        <v>10903</v>
      </c>
      <c r="G469" s="69">
        <f t="shared" si="768"/>
        <v>10388</v>
      </c>
      <c r="H469" s="69">
        <f t="shared" si="768"/>
        <v>10903</v>
      </c>
      <c r="I469" s="69">
        <f t="shared" si="768"/>
        <v>24174.520000000004</v>
      </c>
      <c r="J469" s="69">
        <f t="shared" si="768"/>
        <v>21077</v>
      </c>
      <c r="K469" s="69">
        <f t="shared" ref="K469:L469" si="770">K748</f>
        <v>24174.520000000004</v>
      </c>
      <c r="L469" s="283">
        <f t="shared" si="770"/>
        <v>20297</v>
      </c>
      <c r="M469" s="283">
        <f t="shared" ref="M469:P469" si="771">M748</f>
        <v>6579</v>
      </c>
      <c r="N469" s="283">
        <f t="shared" si="771"/>
        <v>4579</v>
      </c>
      <c r="O469" s="283">
        <f t="shared" si="771"/>
        <v>4579</v>
      </c>
      <c r="P469" s="283">
        <f t="shared" si="771"/>
        <v>4560</v>
      </c>
      <c r="Q469" s="117">
        <f t="shared" si="740"/>
        <v>20297</v>
      </c>
      <c r="R469" s="117">
        <f t="shared" si="741"/>
        <v>0</v>
      </c>
      <c r="S469" s="283">
        <f t="shared" si="768"/>
        <v>13029</v>
      </c>
      <c r="T469" s="283">
        <f t="shared" si="768"/>
        <v>3610</v>
      </c>
      <c r="U469" s="283">
        <f t="shared" si="768"/>
        <v>0</v>
      </c>
    </row>
    <row r="470" spans="1:21" ht="15">
      <c r="A470" s="34"/>
      <c r="B470" s="33" t="s">
        <v>194</v>
      </c>
      <c r="C470" s="12">
        <v>70</v>
      </c>
      <c r="D470" s="69">
        <f t="shared" ref="D470:U470" si="772">D482+D749</f>
        <v>1570</v>
      </c>
      <c r="E470" s="69">
        <f t="shared" ref="E470:F470" si="773">E482+E749</f>
        <v>959.9</v>
      </c>
      <c r="F470" s="69">
        <f t="shared" si="773"/>
        <v>1034.0999999999999</v>
      </c>
      <c r="G470" s="69">
        <f t="shared" si="772"/>
        <v>781</v>
      </c>
      <c r="H470" s="69">
        <f t="shared" si="772"/>
        <v>1033.8000000000002</v>
      </c>
      <c r="I470" s="69">
        <f t="shared" si="772"/>
        <v>1117.6399999999999</v>
      </c>
      <c r="J470" s="69">
        <f t="shared" si="772"/>
        <v>60</v>
      </c>
      <c r="K470" s="69">
        <f t="shared" ref="K470:L470" si="774">K482+K749</f>
        <v>1125.6399999999999</v>
      </c>
      <c r="L470" s="283">
        <f t="shared" si="774"/>
        <v>0</v>
      </c>
      <c r="M470" s="283">
        <f t="shared" ref="M470:P470" si="775">M482+M749</f>
        <v>0</v>
      </c>
      <c r="N470" s="283">
        <f t="shared" si="775"/>
        <v>0</v>
      </c>
      <c r="O470" s="283">
        <f t="shared" si="775"/>
        <v>0</v>
      </c>
      <c r="P470" s="283">
        <f t="shared" si="775"/>
        <v>0</v>
      </c>
      <c r="Q470" s="117">
        <f t="shared" si="740"/>
        <v>0</v>
      </c>
      <c r="R470" s="117">
        <f t="shared" si="741"/>
        <v>0</v>
      </c>
      <c r="S470" s="283">
        <f t="shared" si="772"/>
        <v>0</v>
      </c>
      <c r="T470" s="283">
        <f t="shared" si="772"/>
        <v>0</v>
      </c>
      <c r="U470" s="283">
        <f t="shared" si="772"/>
        <v>0</v>
      </c>
    </row>
    <row r="471" spans="1:21" ht="14.25">
      <c r="A471" s="41">
        <v>1</v>
      </c>
      <c r="B471" s="186" t="s">
        <v>597</v>
      </c>
      <c r="C471" s="184" t="s">
        <v>255</v>
      </c>
      <c r="D471" s="185">
        <f t="shared" ref="D471:D473" si="776">D483+D554</f>
        <v>13701</v>
      </c>
      <c r="E471" s="185">
        <f t="shared" ref="E471:F471" si="777">E483+E554</f>
        <v>9179.14</v>
      </c>
      <c r="F471" s="185">
        <f t="shared" si="777"/>
        <v>10937.4</v>
      </c>
      <c r="G471" s="185">
        <f t="shared" ref="G471:J473" si="778">G483+G554</f>
        <v>15938</v>
      </c>
      <c r="H471" s="185">
        <f t="shared" si="778"/>
        <v>10937.4</v>
      </c>
      <c r="I471" s="185">
        <f t="shared" si="778"/>
        <v>17588.599999999999</v>
      </c>
      <c r="J471" s="185">
        <f t="shared" si="778"/>
        <v>17502</v>
      </c>
      <c r="K471" s="185">
        <f t="shared" ref="K471:L471" si="779">K483+K554</f>
        <v>17611.599999999999</v>
      </c>
      <c r="L471" s="299">
        <f t="shared" si="779"/>
        <v>15686</v>
      </c>
      <c r="M471" s="299">
        <f t="shared" ref="M471:P471" si="780">M483+M554</f>
        <v>433</v>
      </c>
      <c r="N471" s="299">
        <f t="shared" si="780"/>
        <v>3110</v>
      </c>
      <c r="O471" s="299">
        <f t="shared" si="780"/>
        <v>3120</v>
      </c>
      <c r="P471" s="299">
        <f t="shared" si="780"/>
        <v>9023</v>
      </c>
      <c r="Q471" s="117">
        <f t="shared" si="740"/>
        <v>15686</v>
      </c>
      <c r="R471" s="117">
        <f t="shared" si="741"/>
        <v>0</v>
      </c>
      <c r="S471" s="299">
        <f t="shared" ref="S471:U473" si="781">S483+S554</f>
        <v>15919</v>
      </c>
      <c r="T471" s="299">
        <f t="shared" si="781"/>
        <v>15972</v>
      </c>
      <c r="U471" s="299">
        <f t="shared" si="781"/>
        <v>16024</v>
      </c>
    </row>
    <row r="472" spans="1:21" ht="14.25">
      <c r="A472" s="34"/>
      <c r="B472" s="24" t="s">
        <v>153</v>
      </c>
      <c r="C472" s="84"/>
      <c r="D472" s="73">
        <f t="shared" si="776"/>
        <v>13541</v>
      </c>
      <c r="E472" s="73">
        <f t="shared" ref="E472:F472" si="782">E484+E555</f>
        <v>8811.14</v>
      </c>
      <c r="F472" s="73">
        <f t="shared" si="782"/>
        <v>10560.4</v>
      </c>
      <c r="G472" s="73">
        <f t="shared" si="778"/>
        <v>15723</v>
      </c>
      <c r="H472" s="73">
        <f t="shared" si="778"/>
        <v>10560.4</v>
      </c>
      <c r="I472" s="73">
        <f t="shared" si="778"/>
        <v>17501.599999999999</v>
      </c>
      <c r="J472" s="73">
        <f t="shared" si="778"/>
        <v>17502</v>
      </c>
      <c r="K472" s="73">
        <f t="shared" ref="K472:L472" si="783">K484+K555</f>
        <v>17516.599999999999</v>
      </c>
      <c r="L472" s="292">
        <f t="shared" si="783"/>
        <v>15686</v>
      </c>
      <c r="M472" s="292">
        <f t="shared" ref="M472:P472" si="784">M484+M555</f>
        <v>433</v>
      </c>
      <c r="N472" s="292">
        <f t="shared" si="784"/>
        <v>3110</v>
      </c>
      <c r="O472" s="292">
        <f t="shared" si="784"/>
        <v>3120</v>
      </c>
      <c r="P472" s="292">
        <f t="shared" si="784"/>
        <v>9023</v>
      </c>
      <c r="Q472" s="117">
        <f t="shared" si="740"/>
        <v>15686</v>
      </c>
      <c r="R472" s="117">
        <f t="shared" si="741"/>
        <v>0</v>
      </c>
      <c r="S472" s="292">
        <f t="shared" si="781"/>
        <v>15919</v>
      </c>
      <c r="T472" s="292">
        <f t="shared" si="781"/>
        <v>15972</v>
      </c>
      <c r="U472" s="292">
        <f t="shared" si="781"/>
        <v>16024</v>
      </c>
    </row>
    <row r="473" spans="1:21" ht="15">
      <c r="A473" s="34"/>
      <c r="B473" s="33" t="s">
        <v>154</v>
      </c>
      <c r="C473" s="12">
        <v>1</v>
      </c>
      <c r="D473" s="73">
        <f t="shared" si="776"/>
        <v>13541</v>
      </c>
      <c r="E473" s="73">
        <f t="shared" ref="E473:F473" si="785">E485+E556</f>
        <v>8811.14</v>
      </c>
      <c r="F473" s="73">
        <f t="shared" si="785"/>
        <v>10560.4</v>
      </c>
      <c r="G473" s="73">
        <f t="shared" si="778"/>
        <v>15723</v>
      </c>
      <c r="H473" s="73">
        <f t="shared" si="778"/>
        <v>10560.4</v>
      </c>
      <c r="I473" s="73">
        <f t="shared" si="778"/>
        <v>17501.599999999999</v>
      </c>
      <c r="J473" s="73">
        <f t="shared" si="778"/>
        <v>17502</v>
      </c>
      <c r="K473" s="73">
        <f t="shared" ref="K473:L473" si="786">K485+K556</f>
        <v>17516.599999999999</v>
      </c>
      <c r="L473" s="292">
        <f t="shared" si="786"/>
        <v>15686</v>
      </c>
      <c r="M473" s="292">
        <f t="shared" ref="M473:P473" si="787">M485+M556</f>
        <v>433</v>
      </c>
      <c r="N473" s="292">
        <f t="shared" si="787"/>
        <v>3110</v>
      </c>
      <c r="O473" s="292">
        <f t="shared" si="787"/>
        <v>3120</v>
      </c>
      <c r="P473" s="292">
        <f t="shared" si="787"/>
        <v>9023</v>
      </c>
      <c r="Q473" s="117">
        <f t="shared" si="740"/>
        <v>15686</v>
      </c>
      <c r="R473" s="117">
        <f t="shared" si="741"/>
        <v>0</v>
      </c>
      <c r="S473" s="292">
        <f t="shared" si="781"/>
        <v>15919</v>
      </c>
      <c r="T473" s="292">
        <f t="shared" si="781"/>
        <v>15972</v>
      </c>
      <c r="U473" s="292">
        <f t="shared" si="781"/>
        <v>16024</v>
      </c>
    </row>
    <row r="474" spans="1:21" ht="15">
      <c r="A474" s="34"/>
      <c r="B474" s="33" t="s">
        <v>155</v>
      </c>
      <c r="C474" s="12">
        <v>10</v>
      </c>
      <c r="D474" s="73">
        <f t="shared" ref="D474:U474" si="788">D486</f>
        <v>377</v>
      </c>
      <c r="E474" s="73">
        <f t="shared" ref="E474:F474" si="789">E486</f>
        <v>257.03999999999996</v>
      </c>
      <c r="F474" s="73">
        <f t="shared" si="789"/>
        <v>450</v>
      </c>
      <c r="G474" s="73">
        <f t="shared" si="788"/>
        <v>450</v>
      </c>
      <c r="H474" s="73">
        <f t="shared" si="788"/>
        <v>450</v>
      </c>
      <c r="I474" s="73">
        <f t="shared" si="788"/>
        <v>407</v>
      </c>
      <c r="J474" s="73">
        <f t="shared" si="788"/>
        <v>407</v>
      </c>
      <c r="K474" s="73">
        <f t="shared" ref="K474:L474" si="790">K486</f>
        <v>407</v>
      </c>
      <c r="L474" s="292">
        <f t="shared" si="790"/>
        <v>200</v>
      </c>
      <c r="M474" s="292">
        <f t="shared" ref="M474:P474" si="791">M486</f>
        <v>0</v>
      </c>
      <c r="N474" s="292">
        <f t="shared" si="791"/>
        <v>110</v>
      </c>
      <c r="O474" s="292">
        <f t="shared" si="791"/>
        <v>90</v>
      </c>
      <c r="P474" s="292">
        <f t="shared" si="791"/>
        <v>0</v>
      </c>
      <c r="Q474" s="117">
        <f t="shared" si="740"/>
        <v>200</v>
      </c>
      <c r="R474" s="117">
        <f t="shared" si="741"/>
        <v>0</v>
      </c>
      <c r="S474" s="292">
        <f t="shared" si="788"/>
        <v>200</v>
      </c>
      <c r="T474" s="292">
        <f t="shared" si="788"/>
        <v>200</v>
      </c>
      <c r="U474" s="292">
        <f t="shared" si="788"/>
        <v>200</v>
      </c>
    </row>
    <row r="475" spans="1:21" ht="15">
      <c r="A475" s="34"/>
      <c r="B475" s="33" t="s">
        <v>588</v>
      </c>
      <c r="C475" s="12">
        <v>20</v>
      </c>
      <c r="D475" s="73">
        <f t="shared" ref="D475:U475" si="792">D488</f>
        <v>2622</v>
      </c>
      <c r="E475" s="73">
        <f t="shared" ref="E475:F475" si="793">E488</f>
        <v>2306.6899999999996</v>
      </c>
      <c r="F475" s="73">
        <f t="shared" si="793"/>
        <v>2397.4</v>
      </c>
      <c r="G475" s="73">
        <f t="shared" si="792"/>
        <v>2207</v>
      </c>
      <c r="H475" s="73">
        <f t="shared" si="792"/>
        <v>2397.4</v>
      </c>
      <c r="I475" s="73">
        <f t="shared" si="792"/>
        <v>2294</v>
      </c>
      <c r="J475" s="73">
        <f t="shared" si="792"/>
        <v>2294</v>
      </c>
      <c r="K475" s="73">
        <f t="shared" ref="K475:L475" si="794">K488</f>
        <v>2315</v>
      </c>
      <c r="L475" s="292">
        <f t="shared" si="794"/>
        <v>1900</v>
      </c>
      <c r="M475" s="292">
        <f t="shared" ref="M475:P475" si="795">M488</f>
        <v>433</v>
      </c>
      <c r="N475" s="292">
        <f t="shared" si="795"/>
        <v>500</v>
      </c>
      <c r="O475" s="292">
        <f t="shared" si="795"/>
        <v>530</v>
      </c>
      <c r="P475" s="292">
        <f t="shared" si="795"/>
        <v>437</v>
      </c>
      <c r="Q475" s="117">
        <f t="shared" si="740"/>
        <v>1900</v>
      </c>
      <c r="R475" s="117">
        <f t="shared" si="741"/>
        <v>0</v>
      </c>
      <c r="S475" s="292">
        <f t="shared" si="792"/>
        <v>2133</v>
      </c>
      <c r="T475" s="292">
        <f t="shared" si="792"/>
        <v>2186</v>
      </c>
      <c r="U475" s="292">
        <f t="shared" si="792"/>
        <v>2238</v>
      </c>
    </row>
    <row r="476" spans="1:21" ht="15">
      <c r="A476" s="34"/>
      <c r="B476" s="33" t="s">
        <v>159</v>
      </c>
      <c r="C476" s="12">
        <v>51</v>
      </c>
      <c r="D476" s="73">
        <f t="shared" ref="D476:U476" si="796">D557</f>
        <v>0</v>
      </c>
      <c r="E476" s="73">
        <f t="shared" ref="E476:F476" si="797">E557</f>
        <v>0</v>
      </c>
      <c r="F476" s="73">
        <f t="shared" si="797"/>
        <v>0</v>
      </c>
      <c r="G476" s="73">
        <f t="shared" si="796"/>
        <v>0</v>
      </c>
      <c r="H476" s="73">
        <f t="shared" si="796"/>
        <v>0</v>
      </c>
      <c r="I476" s="73">
        <f t="shared" si="796"/>
        <v>0</v>
      </c>
      <c r="J476" s="73">
        <f t="shared" si="796"/>
        <v>0</v>
      </c>
      <c r="K476" s="73">
        <f t="shared" ref="K476:L476" si="798">K557</f>
        <v>0</v>
      </c>
      <c r="L476" s="292">
        <f t="shared" si="798"/>
        <v>0</v>
      </c>
      <c r="M476" s="292">
        <f t="shared" ref="M476:P476" si="799">M557</f>
        <v>0</v>
      </c>
      <c r="N476" s="292">
        <f t="shared" si="799"/>
        <v>0</v>
      </c>
      <c r="O476" s="292">
        <f t="shared" si="799"/>
        <v>0</v>
      </c>
      <c r="P476" s="292">
        <f t="shared" si="799"/>
        <v>0</v>
      </c>
      <c r="Q476" s="117">
        <f t="shared" si="740"/>
        <v>0</v>
      </c>
      <c r="R476" s="117">
        <f t="shared" si="741"/>
        <v>0</v>
      </c>
      <c r="S476" s="292">
        <f t="shared" si="796"/>
        <v>0</v>
      </c>
      <c r="T476" s="292">
        <f t="shared" si="796"/>
        <v>0</v>
      </c>
      <c r="U476" s="292">
        <f t="shared" si="796"/>
        <v>0</v>
      </c>
    </row>
    <row r="477" spans="1:21" ht="14.25" customHeight="1">
      <c r="A477" s="34"/>
      <c r="B477" s="33" t="s">
        <v>161</v>
      </c>
      <c r="C477" s="12">
        <v>57</v>
      </c>
      <c r="D477" s="73">
        <f t="shared" ref="D477:U477" si="800">D489+D558</f>
        <v>10542</v>
      </c>
      <c r="E477" s="73">
        <f t="shared" ref="E477:F477" si="801">E489+E558</f>
        <v>6250.61</v>
      </c>
      <c r="F477" s="73">
        <f t="shared" si="801"/>
        <v>7713</v>
      </c>
      <c r="G477" s="73">
        <f t="shared" si="800"/>
        <v>13066</v>
      </c>
      <c r="H477" s="73">
        <f t="shared" si="800"/>
        <v>7713</v>
      </c>
      <c r="I477" s="73">
        <f t="shared" si="800"/>
        <v>14800.6</v>
      </c>
      <c r="J477" s="73">
        <f t="shared" si="800"/>
        <v>14801</v>
      </c>
      <c r="K477" s="73">
        <f t="shared" ref="K477:L477" si="802">K489+K558</f>
        <v>14794.6</v>
      </c>
      <c r="L477" s="292">
        <f t="shared" si="802"/>
        <v>13435</v>
      </c>
      <c r="M477" s="292">
        <f t="shared" ref="M477:P477" si="803">M489+M558</f>
        <v>0</v>
      </c>
      <c r="N477" s="292">
        <f t="shared" si="803"/>
        <v>2500</v>
      </c>
      <c r="O477" s="292">
        <f t="shared" si="803"/>
        <v>2500</v>
      </c>
      <c r="P477" s="292">
        <f t="shared" si="803"/>
        <v>8435</v>
      </c>
      <c r="Q477" s="117">
        <f t="shared" si="740"/>
        <v>13435</v>
      </c>
      <c r="R477" s="117">
        <f t="shared" si="741"/>
        <v>0</v>
      </c>
      <c r="S477" s="292">
        <f t="shared" si="800"/>
        <v>13435</v>
      </c>
      <c r="T477" s="292">
        <f t="shared" si="800"/>
        <v>13435</v>
      </c>
      <c r="U477" s="292">
        <f t="shared" si="800"/>
        <v>13435</v>
      </c>
    </row>
    <row r="478" spans="1:21" ht="14.25" customHeight="1">
      <c r="A478" s="34"/>
      <c r="B478" s="33" t="s">
        <v>178</v>
      </c>
      <c r="C478" s="12">
        <v>59</v>
      </c>
      <c r="D478" s="73">
        <f>D490</f>
        <v>0</v>
      </c>
      <c r="E478" s="73">
        <f t="shared" ref="E478:U478" si="804">E490</f>
        <v>0</v>
      </c>
      <c r="F478" s="73">
        <f t="shared" si="804"/>
        <v>0</v>
      </c>
      <c r="G478" s="73">
        <f t="shared" si="804"/>
        <v>0</v>
      </c>
      <c r="H478" s="73">
        <f t="shared" si="804"/>
        <v>0</v>
      </c>
      <c r="I478" s="73">
        <f t="shared" si="804"/>
        <v>0</v>
      </c>
      <c r="J478" s="73">
        <f t="shared" si="804"/>
        <v>0</v>
      </c>
      <c r="K478" s="73">
        <f t="shared" si="804"/>
        <v>0</v>
      </c>
      <c r="L478" s="292">
        <f t="shared" si="804"/>
        <v>151</v>
      </c>
      <c r="M478" s="292">
        <f t="shared" ref="M478:P478" si="805">M490</f>
        <v>0</v>
      </c>
      <c r="N478" s="292">
        <f t="shared" si="805"/>
        <v>0</v>
      </c>
      <c r="O478" s="292">
        <f t="shared" si="805"/>
        <v>0</v>
      </c>
      <c r="P478" s="292">
        <f t="shared" si="805"/>
        <v>151</v>
      </c>
      <c r="Q478" s="117">
        <f t="shared" si="740"/>
        <v>151</v>
      </c>
      <c r="R478" s="117">
        <f t="shared" si="741"/>
        <v>0</v>
      </c>
      <c r="S478" s="292">
        <f t="shared" si="804"/>
        <v>151</v>
      </c>
      <c r="T478" s="292">
        <f t="shared" si="804"/>
        <v>151</v>
      </c>
      <c r="U478" s="292">
        <f t="shared" si="804"/>
        <v>151</v>
      </c>
    </row>
    <row r="479" spans="1:21" ht="15">
      <c r="A479" s="34"/>
      <c r="B479" s="33" t="s">
        <v>164</v>
      </c>
      <c r="C479" s="12">
        <v>85.01</v>
      </c>
      <c r="D479" s="73">
        <f t="shared" ref="D479:U479" si="806">D503+D529+D551+D540+D559+D566</f>
        <v>0</v>
      </c>
      <c r="E479" s="73">
        <f t="shared" ref="E479:F479" si="807">E503+E529+E551+E540+E559+E566</f>
        <v>-1.6</v>
      </c>
      <c r="F479" s="73">
        <f t="shared" si="807"/>
        <v>0</v>
      </c>
      <c r="G479" s="73">
        <f t="shared" si="806"/>
        <v>0</v>
      </c>
      <c r="H479" s="73">
        <f t="shared" si="806"/>
        <v>0</v>
      </c>
      <c r="I479" s="73">
        <f t="shared" si="806"/>
        <v>0</v>
      </c>
      <c r="J479" s="73">
        <f t="shared" si="806"/>
        <v>0</v>
      </c>
      <c r="K479" s="73">
        <f t="shared" ref="K479:L479" si="808">K503+K529+K551+K540+K559+K566</f>
        <v>0</v>
      </c>
      <c r="L479" s="292">
        <f t="shared" si="808"/>
        <v>0</v>
      </c>
      <c r="M479" s="292">
        <f t="shared" ref="M479:P479" si="809">M503+M529+M551+M540+M559+M566</f>
        <v>0</v>
      </c>
      <c r="N479" s="292">
        <f t="shared" si="809"/>
        <v>0</v>
      </c>
      <c r="O479" s="292">
        <f t="shared" si="809"/>
        <v>0</v>
      </c>
      <c r="P479" s="292">
        <f t="shared" si="809"/>
        <v>0</v>
      </c>
      <c r="Q479" s="117">
        <f t="shared" si="740"/>
        <v>0</v>
      </c>
      <c r="R479" s="117">
        <f t="shared" si="741"/>
        <v>0</v>
      </c>
      <c r="S479" s="292">
        <f t="shared" si="806"/>
        <v>0</v>
      </c>
      <c r="T479" s="292">
        <f t="shared" si="806"/>
        <v>0</v>
      </c>
      <c r="U479" s="292">
        <f t="shared" si="806"/>
        <v>0</v>
      </c>
    </row>
    <row r="480" spans="1:21" ht="14.25">
      <c r="A480" s="34"/>
      <c r="B480" s="26" t="s">
        <v>165</v>
      </c>
      <c r="C480" s="12"/>
      <c r="D480" s="73">
        <f t="shared" ref="D480:U482" si="810">D491</f>
        <v>160</v>
      </c>
      <c r="E480" s="73">
        <f t="shared" ref="E480:F480" si="811">E491</f>
        <v>0</v>
      </c>
      <c r="F480" s="73">
        <f t="shared" si="811"/>
        <v>377</v>
      </c>
      <c r="G480" s="73">
        <f t="shared" si="810"/>
        <v>215</v>
      </c>
      <c r="H480" s="73">
        <f t="shared" si="810"/>
        <v>377</v>
      </c>
      <c r="I480" s="73">
        <f t="shared" si="810"/>
        <v>87</v>
      </c>
      <c r="J480" s="73">
        <f t="shared" si="810"/>
        <v>0</v>
      </c>
      <c r="K480" s="73">
        <f t="shared" ref="K480:L480" si="812">K491</f>
        <v>95</v>
      </c>
      <c r="L480" s="292">
        <f t="shared" si="812"/>
        <v>0</v>
      </c>
      <c r="M480" s="292">
        <f t="shared" ref="M480:P480" si="813">M491</f>
        <v>0</v>
      </c>
      <c r="N480" s="292">
        <f t="shared" si="813"/>
        <v>0</v>
      </c>
      <c r="O480" s="292">
        <f t="shared" si="813"/>
        <v>0</v>
      </c>
      <c r="P480" s="292">
        <f t="shared" si="813"/>
        <v>0</v>
      </c>
      <c r="Q480" s="117">
        <f t="shared" si="740"/>
        <v>0</v>
      </c>
      <c r="R480" s="117">
        <f t="shared" si="741"/>
        <v>0</v>
      </c>
      <c r="S480" s="292">
        <f t="shared" si="810"/>
        <v>0</v>
      </c>
      <c r="T480" s="292">
        <f t="shared" si="810"/>
        <v>0</v>
      </c>
      <c r="U480" s="292">
        <f t="shared" si="810"/>
        <v>0</v>
      </c>
    </row>
    <row r="481" spans="1:21" ht="0.75" customHeight="1">
      <c r="A481" s="34"/>
      <c r="B481" s="26" t="s">
        <v>174</v>
      </c>
      <c r="C481" s="12">
        <v>56</v>
      </c>
      <c r="D481" s="73">
        <f t="shared" si="810"/>
        <v>0</v>
      </c>
      <c r="E481" s="197"/>
      <c r="F481" s="73">
        <f t="shared" ref="F481" si="814">F492</f>
        <v>0</v>
      </c>
      <c r="G481" s="73">
        <f t="shared" si="810"/>
        <v>0</v>
      </c>
      <c r="H481" s="73">
        <f t="shared" si="810"/>
        <v>0</v>
      </c>
      <c r="I481" s="197"/>
      <c r="J481" s="197"/>
      <c r="K481" s="197"/>
      <c r="L481" s="282"/>
      <c r="M481" s="282"/>
      <c r="N481" s="282"/>
      <c r="O481" s="282"/>
      <c r="P481" s="282"/>
      <c r="Q481" s="117">
        <f t="shared" si="740"/>
        <v>0</v>
      </c>
      <c r="R481" s="117">
        <f t="shared" si="741"/>
        <v>0</v>
      </c>
      <c r="S481" s="282"/>
      <c r="T481" s="282"/>
      <c r="U481" s="282"/>
    </row>
    <row r="482" spans="1:21" ht="15">
      <c r="A482" s="34"/>
      <c r="B482" s="33" t="s">
        <v>194</v>
      </c>
      <c r="C482" s="12">
        <v>70</v>
      </c>
      <c r="D482" s="73">
        <f t="shared" si="810"/>
        <v>160</v>
      </c>
      <c r="E482" s="73">
        <f t="shared" ref="E482:F482" si="815">E493</f>
        <v>368</v>
      </c>
      <c r="F482" s="73">
        <f t="shared" si="815"/>
        <v>377</v>
      </c>
      <c r="G482" s="73">
        <f t="shared" si="810"/>
        <v>215</v>
      </c>
      <c r="H482" s="73">
        <f t="shared" si="810"/>
        <v>377</v>
      </c>
      <c r="I482" s="73">
        <f t="shared" si="810"/>
        <v>87</v>
      </c>
      <c r="J482" s="73">
        <f t="shared" si="810"/>
        <v>0</v>
      </c>
      <c r="K482" s="73">
        <f t="shared" ref="K482:L482" si="816">K493</f>
        <v>95</v>
      </c>
      <c r="L482" s="292">
        <f t="shared" si="816"/>
        <v>0</v>
      </c>
      <c r="M482" s="292">
        <f t="shared" ref="M482:P482" si="817">M493</f>
        <v>0</v>
      </c>
      <c r="N482" s="292">
        <f t="shared" si="817"/>
        <v>0</v>
      </c>
      <c r="O482" s="292">
        <f t="shared" si="817"/>
        <v>0</v>
      </c>
      <c r="P482" s="292">
        <f t="shared" si="817"/>
        <v>0</v>
      </c>
      <c r="Q482" s="117">
        <f t="shared" si="740"/>
        <v>0</v>
      </c>
      <c r="R482" s="117">
        <f t="shared" si="741"/>
        <v>0</v>
      </c>
      <c r="S482" s="292">
        <f t="shared" si="810"/>
        <v>0</v>
      </c>
      <c r="T482" s="292">
        <f t="shared" si="810"/>
        <v>0</v>
      </c>
      <c r="U482" s="292">
        <f t="shared" si="810"/>
        <v>0</v>
      </c>
    </row>
    <row r="483" spans="1:21" ht="14.25">
      <c r="A483" s="34" t="s">
        <v>256</v>
      </c>
      <c r="B483" s="31" t="s">
        <v>598</v>
      </c>
      <c r="C483" s="12" t="s">
        <v>257</v>
      </c>
      <c r="D483" s="73">
        <f t="shared" ref="D483:D484" si="818">D494+D510+D521+D532+D543+D560</f>
        <v>3705</v>
      </c>
      <c r="E483" s="73">
        <f t="shared" ref="E483:F483" si="819">E494+E510+E521+E532+E543+E560</f>
        <v>3949.1399999999994</v>
      </c>
      <c r="F483" s="73">
        <f t="shared" si="819"/>
        <v>5454.4</v>
      </c>
      <c r="G483" s="73">
        <f t="shared" ref="G483:J484" si="820">G494+G510+G521+G532+G543+G560</f>
        <v>3981</v>
      </c>
      <c r="H483" s="73">
        <f t="shared" si="820"/>
        <v>5454.4</v>
      </c>
      <c r="I483" s="73">
        <f t="shared" si="820"/>
        <v>4088.6</v>
      </c>
      <c r="J483" s="73">
        <f t="shared" si="820"/>
        <v>4002</v>
      </c>
      <c r="K483" s="73">
        <f t="shared" ref="K483:L483" si="821">K494+K510+K521+K532+K543+K560</f>
        <v>4111.6000000000004</v>
      </c>
      <c r="L483" s="292">
        <f t="shared" si="821"/>
        <v>3784</v>
      </c>
      <c r="M483" s="292">
        <f t="shared" ref="M483:P483" si="822">M494+M510+M521+M532+M543+M560</f>
        <v>433</v>
      </c>
      <c r="N483" s="292">
        <f t="shared" si="822"/>
        <v>1110</v>
      </c>
      <c r="O483" s="292">
        <f t="shared" si="822"/>
        <v>1120</v>
      </c>
      <c r="P483" s="292">
        <f t="shared" si="822"/>
        <v>1121</v>
      </c>
      <c r="Q483" s="117">
        <f t="shared" si="740"/>
        <v>3784</v>
      </c>
      <c r="R483" s="117">
        <f t="shared" si="741"/>
        <v>0</v>
      </c>
      <c r="S483" s="292">
        <f t="shared" ref="S483:U484" si="823">S494+S510+S521+S532+S543+S560</f>
        <v>4017</v>
      </c>
      <c r="T483" s="292">
        <f t="shared" si="823"/>
        <v>4070</v>
      </c>
      <c r="U483" s="292">
        <f t="shared" si="823"/>
        <v>4122</v>
      </c>
    </row>
    <row r="484" spans="1:21" ht="14.25">
      <c r="A484" s="34"/>
      <c r="B484" s="24" t="s">
        <v>153</v>
      </c>
      <c r="C484" s="12"/>
      <c r="D484" s="73">
        <f t="shared" si="818"/>
        <v>3545</v>
      </c>
      <c r="E484" s="73">
        <f t="shared" ref="E484:F484" si="824">E495+E511+E522+E533+E544+E561</f>
        <v>3581.1400000000003</v>
      </c>
      <c r="F484" s="73">
        <f t="shared" si="824"/>
        <v>5077.3999999999996</v>
      </c>
      <c r="G484" s="73">
        <f t="shared" si="820"/>
        <v>3766</v>
      </c>
      <c r="H484" s="73">
        <f t="shared" si="820"/>
        <v>5077.3999999999996</v>
      </c>
      <c r="I484" s="73">
        <f t="shared" si="820"/>
        <v>4001.6</v>
      </c>
      <c r="J484" s="73">
        <f t="shared" si="820"/>
        <v>4002</v>
      </c>
      <c r="K484" s="73">
        <f t="shared" ref="K484:L484" si="825">K495+K511+K522+K533+K544+K561</f>
        <v>4016.6</v>
      </c>
      <c r="L484" s="292">
        <f t="shared" si="825"/>
        <v>3784</v>
      </c>
      <c r="M484" s="292">
        <f t="shared" ref="M484:P484" si="826">M495+M511+M522+M533+M544+M561</f>
        <v>433</v>
      </c>
      <c r="N484" s="292">
        <f t="shared" si="826"/>
        <v>1110</v>
      </c>
      <c r="O484" s="292">
        <f t="shared" si="826"/>
        <v>1120</v>
      </c>
      <c r="P484" s="292">
        <f t="shared" si="826"/>
        <v>1121</v>
      </c>
      <c r="Q484" s="117">
        <f t="shared" si="740"/>
        <v>3784</v>
      </c>
      <c r="R484" s="117">
        <f t="shared" si="741"/>
        <v>0</v>
      </c>
      <c r="S484" s="292">
        <f t="shared" si="823"/>
        <v>4017</v>
      </c>
      <c r="T484" s="292">
        <f t="shared" si="823"/>
        <v>4070</v>
      </c>
      <c r="U484" s="292">
        <f t="shared" si="823"/>
        <v>4122</v>
      </c>
    </row>
    <row r="485" spans="1:21" ht="15">
      <c r="A485" s="34"/>
      <c r="B485" s="33" t="s">
        <v>154</v>
      </c>
      <c r="C485" s="12">
        <v>1</v>
      </c>
      <c r="D485" s="69">
        <f t="shared" ref="D485:U485" si="827">D496+D512+D522+D533+D544+D561</f>
        <v>3545</v>
      </c>
      <c r="E485" s="69">
        <f t="shared" ref="E485:F485" si="828">E496+E512+E522+E533+E544+E561</f>
        <v>3581.1400000000003</v>
      </c>
      <c r="F485" s="69">
        <f t="shared" si="828"/>
        <v>5077.3999999999996</v>
      </c>
      <c r="G485" s="69">
        <f t="shared" si="827"/>
        <v>3766</v>
      </c>
      <c r="H485" s="69">
        <f t="shared" si="827"/>
        <v>5077.3999999999996</v>
      </c>
      <c r="I485" s="69">
        <f t="shared" si="827"/>
        <v>4001.6</v>
      </c>
      <c r="J485" s="69">
        <f t="shared" si="827"/>
        <v>4002</v>
      </c>
      <c r="K485" s="69">
        <f t="shared" ref="K485:L485" si="829">K496+K512+K522+K533+K544+K561</f>
        <v>4016.6</v>
      </c>
      <c r="L485" s="283">
        <f t="shared" si="829"/>
        <v>3784</v>
      </c>
      <c r="M485" s="283">
        <f t="shared" ref="M485:P485" si="830">M496+M512+M522+M533+M544+M561</f>
        <v>433</v>
      </c>
      <c r="N485" s="283">
        <f t="shared" si="830"/>
        <v>1110</v>
      </c>
      <c r="O485" s="283">
        <f t="shared" si="830"/>
        <v>1120</v>
      </c>
      <c r="P485" s="283">
        <f t="shared" si="830"/>
        <v>1121</v>
      </c>
      <c r="Q485" s="117">
        <f t="shared" si="740"/>
        <v>3784</v>
      </c>
      <c r="R485" s="117">
        <f t="shared" si="741"/>
        <v>0</v>
      </c>
      <c r="S485" s="283">
        <f t="shared" si="827"/>
        <v>4017</v>
      </c>
      <c r="T485" s="283">
        <f t="shared" si="827"/>
        <v>4070</v>
      </c>
      <c r="U485" s="283">
        <f t="shared" si="827"/>
        <v>4122</v>
      </c>
    </row>
    <row r="486" spans="1:21" ht="15">
      <c r="A486" s="34"/>
      <c r="B486" s="33" t="s">
        <v>578</v>
      </c>
      <c r="C486" s="12">
        <v>10</v>
      </c>
      <c r="D486" s="69">
        <f t="shared" ref="D486:D487" si="831">D497+D513+D524+D535+D546+D563</f>
        <v>377</v>
      </c>
      <c r="E486" s="69">
        <f t="shared" ref="E486:F486" si="832">E497+E513+E524+E535+E546+E563</f>
        <v>257.03999999999996</v>
      </c>
      <c r="F486" s="69">
        <f t="shared" si="832"/>
        <v>450</v>
      </c>
      <c r="G486" s="69">
        <f>G497+G513+G524+G535+G546+G563</f>
        <v>450</v>
      </c>
      <c r="H486" s="69">
        <f>H497+H513+H524+H535+H546+H563</f>
        <v>450</v>
      </c>
      <c r="I486" s="69">
        <f>I497+I513+I524+I535+I546+I563</f>
        <v>407</v>
      </c>
      <c r="J486" s="69">
        <f>J497+J513+J524+J535+J546+J563</f>
        <v>407</v>
      </c>
      <c r="K486" s="69">
        <f t="shared" ref="K486:L486" si="833">K497+K513+K524+K535+K546+K563</f>
        <v>407</v>
      </c>
      <c r="L486" s="283">
        <f t="shared" si="833"/>
        <v>200</v>
      </c>
      <c r="M486" s="283">
        <f t="shared" ref="M486:P486" si="834">M497+M513+M524+M535+M546+M563</f>
        <v>0</v>
      </c>
      <c r="N486" s="283">
        <f t="shared" si="834"/>
        <v>110</v>
      </c>
      <c r="O486" s="283">
        <f t="shared" si="834"/>
        <v>90</v>
      </c>
      <c r="P486" s="283">
        <f t="shared" si="834"/>
        <v>0</v>
      </c>
      <c r="Q486" s="117">
        <f t="shared" si="740"/>
        <v>200</v>
      </c>
      <c r="R486" s="117">
        <f t="shared" si="741"/>
        <v>0</v>
      </c>
      <c r="S486" s="283">
        <f>S497+S513+S524+S535+S546+S563</f>
        <v>200</v>
      </c>
      <c r="T486" s="283">
        <f>T497+T513+T524+T535+T546+T563</f>
        <v>200</v>
      </c>
      <c r="U486" s="283">
        <f>U497+U513+U524+U535+U546+U563</f>
        <v>200</v>
      </c>
    </row>
    <row r="487" spans="1:21" ht="15" hidden="1" customHeight="1">
      <c r="A487" s="34"/>
      <c r="B487" s="33" t="s">
        <v>469</v>
      </c>
      <c r="C487" s="12"/>
      <c r="D487" s="69">
        <f t="shared" si="831"/>
        <v>0</v>
      </c>
      <c r="E487" s="197"/>
      <c r="F487" s="69">
        <f t="shared" ref="F487" si="835">F498+F514+F525+F536+F547+F564</f>
        <v>0</v>
      </c>
      <c r="G487" s="69">
        <f>G498+G514+G525+G536+G547+G564</f>
        <v>0</v>
      </c>
      <c r="H487" s="69">
        <f>H498+H514+H525+H536+H547+H564</f>
        <v>0</v>
      </c>
      <c r="I487" s="197"/>
      <c r="J487" s="197"/>
      <c r="K487" s="197"/>
      <c r="L487" s="282"/>
      <c r="M487" s="282"/>
      <c r="N487" s="282"/>
      <c r="O487" s="282"/>
      <c r="P487" s="282"/>
      <c r="Q487" s="117">
        <f t="shared" si="740"/>
        <v>0</v>
      </c>
      <c r="R487" s="117">
        <f t="shared" si="741"/>
        <v>0</v>
      </c>
      <c r="S487" s="282"/>
      <c r="T487" s="282"/>
      <c r="U487" s="282"/>
    </row>
    <row r="488" spans="1:21" ht="15">
      <c r="A488" s="34"/>
      <c r="B488" s="33" t="s">
        <v>588</v>
      </c>
      <c r="C488" s="12">
        <v>20</v>
      </c>
      <c r="D488" s="69">
        <f>D499+D515+D526+D537+D548+D565</f>
        <v>2622</v>
      </c>
      <c r="E488" s="69">
        <f t="shared" ref="E488:F488" si="836">E499+E515+E526+E537+E548+E565</f>
        <v>2306.6899999999996</v>
      </c>
      <c r="F488" s="69">
        <f t="shared" si="836"/>
        <v>2397.4</v>
      </c>
      <c r="G488" s="69">
        <f t="shared" ref="G488" si="837">G499+G515+G526+G537+G548+G565</f>
        <v>2207</v>
      </c>
      <c r="H488" s="69">
        <f>H499+H515+H526+H537+H548+H565</f>
        <v>2397.4</v>
      </c>
      <c r="I488" s="69">
        <f>I499+I515+I526+I537+I548+I565</f>
        <v>2294</v>
      </c>
      <c r="J488" s="69">
        <f>J499+J515+J526+J537+J548+J565</f>
        <v>2294</v>
      </c>
      <c r="K488" s="69">
        <f t="shared" ref="K488:L488" si="838">K499+K515+K526+K537+K548+K565</f>
        <v>2315</v>
      </c>
      <c r="L488" s="283">
        <f t="shared" si="838"/>
        <v>1900</v>
      </c>
      <c r="M488" s="283">
        <f t="shared" ref="M488:P488" si="839">M499+M515+M526+M537+M548+M565</f>
        <v>433</v>
      </c>
      <c r="N488" s="283">
        <f t="shared" si="839"/>
        <v>500</v>
      </c>
      <c r="O488" s="283">
        <f t="shared" si="839"/>
        <v>530</v>
      </c>
      <c r="P488" s="283">
        <f t="shared" si="839"/>
        <v>437</v>
      </c>
      <c r="Q488" s="117">
        <f t="shared" si="740"/>
        <v>1900</v>
      </c>
      <c r="R488" s="117">
        <f t="shared" si="741"/>
        <v>0</v>
      </c>
      <c r="S488" s="283">
        <f>S499+S515+S526+S537+S548+S565</f>
        <v>2133</v>
      </c>
      <c r="T488" s="283">
        <f>T499+T515+T526+T537+T548+T565</f>
        <v>2186</v>
      </c>
      <c r="U488" s="283">
        <f>U499+U515+U526+U537+U548+U565</f>
        <v>2238</v>
      </c>
    </row>
    <row r="489" spans="1:21" ht="15">
      <c r="A489" s="34"/>
      <c r="B489" s="33" t="s">
        <v>258</v>
      </c>
      <c r="C489" s="12" t="s">
        <v>269</v>
      </c>
      <c r="D489" s="69">
        <f t="shared" ref="D489:U489" si="840">D500+D516+D527+D538+D549</f>
        <v>546</v>
      </c>
      <c r="E489" s="69">
        <f t="shared" ref="E489:F489" si="841">E500+E516+E527+E538+E549</f>
        <v>1020.61</v>
      </c>
      <c r="F489" s="69">
        <f t="shared" si="841"/>
        <v>2230</v>
      </c>
      <c r="G489" s="69">
        <f t="shared" si="840"/>
        <v>1109</v>
      </c>
      <c r="H489" s="69">
        <f t="shared" si="840"/>
        <v>2230</v>
      </c>
      <c r="I489" s="69">
        <f t="shared" si="840"/>
        <v>1300.5999999999999</v>
      </c>
      <c r="J489" s="69">
        <f t="shared" si="840"/>
        <v>1301</v>
      </c>
      <c r="K489" s="69">
        <f t="shared" ref="K489:L489" si="842">K500+K516+K527+K538+K549</f>
        <v>1294.5999999999999</v>
      </c>
      <c r="L489" s="283">
        <f t="shared" si="842"/>
        <v>1533</v>
      </c>
      <c r="M489" s="283">
        <f t="shared" ref="M489:P489" si="843">M500+M516+M527+M538+M549</f>
        <v>0</v>
      </c>
      <c r="N489" s="283">
        <f t="shared" si="843"/>
        <v>500</v>
      </c>
      <c r="O489" s="283">
        <f t="shared" si="843"/>
        <v>500</v>
      </c>
      <c r="P489" s="283">
        <f t="shared" si="843"/>
        <v>533</v>
      </c>
      <c r="Q489" s="117">
        <f t="shared" si="740"/>
        <v>1533</v>
      </c>
      <c r="R489" s="117">
        <f t="shared" si="741"/>
        <v>0</v>
      </c>
      <c r="S489" s="283">
        <f t="shared" si="840"/>
        <v>1533</v>
      </c>
      <c r="T489" s="283">
        <f t="shared" si="840"/>
        <v>1533</v>
      </c>
      <c r="U489" s="283">
        <f t="shared" si="840"/>
        <v>1533</v>
      </c>
    </row>
    <row r="490" spans="1:21" ht="15">
      <c r="A490" s="34"/>
      <c r="B490" s="33" t="s">
        <v>178</v>
      </c>
      <c r="C490" s="12">
        <v>59</v>
      </c>
      <c r="D490" s="69">
        <f>D501+D517+D528+D539+D550</f>
        <v>0</v>
      </c>
      <c r="E490" s="69">
        <f t="shared" ref="E490:U490" si="844">E501+E517+E528+E539+E550</f>
        <v>0</v>
      </c>
      <c r="F490" s="69">
        <f t="shared" si="844"/>
        <v>0</v>
      </c>
      <c r="G490" s="69">
        <f t="shared" si="844"/>
        <v>0</v>
      </c>
      <c r="H490" s="69">
        <f t="shared" si="844"/>
        <v>0</v>
      </c>
      <c r="I490" s="69">
        <f t="shared" si="844"/>
        <v>0</v>
      </c>
      <c r="J490" s="69">
        <f t="shared" si="844"/>
        <v>0</v>
      </c>
      <c r="K490" s="69">
        <f t="shared" si="844"/>
        <v>0</v>
      </c>
      <c r="L490" s="283">
        <f t="shared" si="844"/>
        <v>151</v>
      </c>
      <c r="M490" s="283">
        <f t="shared" ref="M490:P490" si="845">M501+M517+M528+M539+M550</f>
        <v>0</v>
      </c>
      <c r="N490" s="283">
        <f t="shared" si="845"/>
        <v>0</v>
      </c>
      <c r="O490" s="283">
        <f t="shared" si="845"/>
        <v>0</v>
      </c>
      <c r="P490" s="283">
        <f t="shared" si="845"/>
        <v>151</v>
      </c>
      <c r="Q490" s="117">
        <f t="shared" si="740"/>
        <v>151</v>
      </c>
      <c r="R490" s="117">
        <f t="shared" si="741"/>
        <v>0</v>
      </c>
      <c r="S490" s="283">
        <f t="shared" si="844"/>
        <v>151</v>
      </c>
      <c r="T490" s="283">
        <f t="shared" si="844"/>
        <v>151</v>
      </c>
      <c r="U490" s="283">
        <f t="shared" si="844"/>
        <v>151</v>
      </c>
    </row>
    <row r="491" spans="1:21" ht="16.5" customHeight="1">
      <c r="A491" s="34"/>
      <c r="B491" s="26" t="s">
        <v>165</v>
      </c>
      <c r="C491" s="12"/>
      <c r="D491" s="69">
        <f t="shared" ref="D491:U491" si="846">D504+D519+D530+D541+D552+D568</f>
        <v>160</v>
      </c>
      <c r="E491" s="197"/>
      <c r="F491" s="69">
        <f t="shared" ref="F491" si="847">F504+F519+F530+F541+F552+F568</f>
        <v>377</v>
      </c>
      <c r="G491" s="69">
        <f t="shared" si="846"/>
        <v>215</v>
      </c>
      <c r="H491" s="69">
        <f t="shared" si="846"/>
        <v>377</v>
      </c>
      <c r="I491" s="69">
        <f t="shared" si="846"/>
        <v>87</v>
      </c>
      <c r="J491" s="69">
        <f t="shared" si="846"/>
        <v>0</v>
      </c>
      <c r="K491" s="69">
        <f t="shared" ref="K491:L491" si="848">K504+K519+K530+K541+K552+K568</f>
        <v>95</v>
      </c>
      <c r="L491" s="283">
        <f t="shared" si="848"/>
        <v>0</v>
      </c>
      <c r="M491" s="283">
        <f t="shared" ref="M491:P491" si="849">M504+M519+M530+M541+M552+M568</f>
        <v>0</v>
      </c>
      <c r="N491" s="283">
        <f t="shared" si="849"/>
        <v>0</v>
      </c>
      <c r="O491" s="283">
        <f t="shared" si="849"/>
        <v>0</v>
      </c>
      <c r="P491" s="283">
        <f t="shared" si="849"/>
        <v>0</v>
      </c>
      <c r="Q491" s="117">
        <f t="shared" si="740"/>
        <v>0</v>
      </c>
      <c r="R491" s="117">
        <f t="shared" si="741"/>
        <v>0</v>
      </c>
      <c r="S491" s="283">
        <f t="shared" si="846"/>
        <v>0</v>
      </c>
      <c r="T491" s="283">
        <f t="shared" si="846"/>
        <v>0</v>
      </c>
      <c r="U491" s="283">
        <f t="shared" si="846"/>
        <v>0</v>
      </c>
    </row>
    <row r="492" spans="1:21" ht="16.5" hidden="1" customHeight="1">
      <c r="A492" s="34"/>
      <c r="B492" s="16" t="s">
        <v>174</v>
      </c>
      <c r="C492" s="96">
        <v>56</v>
      </c>
      <c r="D492" s="69">
        <f t="shared" ref="D492:H492" si="850">D505</f>
        <v>0</v>
      </c>
      <c r="E492" s="197"/>
      <c r="F492" s="69">
        <f t="shared" ref="F492" si="851">F505</f>
        <v>0</v>
      </c>
      <c r="G492" s="69">
        <f t="shared" si="850"/>
        <v>0</v>
      </c>
      <c r="H492" s="69">
        <f t="shared" si="850"/>
        <v>0</v>
      </c>
      <c r="I492" s="197"/>
      <c r="J492" s="197"/>
      <c r="K492" s="197"/>
      <c r="L492" s="282"/>
      <c r="M492" s="282"/>
      <c r="N492" s="282"/>
      <c r="O492" s="282"/>
      <c r="P492" s="282"/>
      <c r="Q492" s="117">
        <f t="shared" si="740"/>
        <v>0</v>
      </c>
      <c r="R492" s="117">
        <f t="shared" si="741"/>
        <v>0</v>
      </c>
      <c r="S492" s="282"/>
      <c r="T492" s="282"/>
      <c r="U492" s="282"/>
    </row>
    <row r="493" spans="1:21" ht="12.75" customHeight="1">
      <c r="A493" s="34"/>
      <c r="B493" s="32" t="s">
        <v>194</v>
      </c>
      <c r="C493" s="12">
        <v>70</v>
      </c>
      <c r="D493" s="69">
        <f t="shared" ref="D493:U493" si="852">D509+D520+D531+D542+D553+D569</f>
        <v>160</v>
      </c>
      <c r="E493" s="69">
        <f t="shared" ref="E493:F493" si="853">E509+E520+E531+E542+E553+E569</f>
        <v>368</v>
      </c>
      <c r="F493" s="69">
        <f t="shared" si="853"/>
        <v>377</v>
      </c>
      <c r="G493" s="69">
        <f t="shared" si="852"/>
        <v>215</v>
      </c>
      <c r="H493" s="69">
        <f t="shared" si="852"/>
        <v>377</v>
      </c>
      <c r="I493" s="69">
        <f t="shared" si="852"/>
        <v>87</v>
      </c>
      <c r="J493" s="69">
        <f t="shared" si="852"/>
        <v>0</v>
      </c>
      <c r="K493" s="69">
        <f t="shared" ref="K493:L493" si="854">K509+K520+K531+K542+K553+K569</f>
        <v>95</v>
      </c>
      <c r="L493" s="283">
        <f t="shared" si="854"/>
        <v>0</v>
      </c>
      <c r="M493" s="283">
        <f t="shared" ref="M493:P493" si="855">M509+M520+M531+M542+M553+M569</f>
        <v>0</v>
      </c>
      <c r="N493" s="283">
        <f t="shared" si="855"/>
        <v>0</v>
      </c>
      <c r="O493" s="283">
        <f t="shared" si="855"/>
        <v>0</v>
      </c>
      <c r="P493" s="283">
        <f t="shared" si="855"/>
        <v>0</v>
      </c>
      <c r="Q493" s="117">
        <f t="shared" si="740"/>
        <v>0</v>
      </c>
      <c r="R493" s="117">
        <f t="shared" si="741"/>
        <v>0</v>
      </c>
      <c r="S493" s="283">
        <f t="shared" si="852"/>
        <v>0</v>
      </c>
      <c r="T493" s="283">
        <f t="shared" si="852"/>
        <v>0</v>
      </c>
      <c r="U493" s="283">
        <f t="shared" si="852"/>
        <v>0</v>
      </c>
    </row>
    <row r="494" spans="1:21" ht="28.5" customHeight="1">
      <c r="A494" s="34" t="s">
        <v>259</v>
      </c>
      <c r="B494" s="50" t="s">
        <v>260</v>
      </c>
      <c r="C494" s="84" t="s">
        <v>261</v>
      </c>
      <c r="D494" s="73">
        <f t="shared" ref="D494:U494" si="856">D495+D504</f>
        <v>1331</v>
      </c>
      <c r="E494" s="73">
        <f t="shared" ref="E494:F494" si="857">E495+E504</f>
        <v>1135.5999999999999</v>
      </c>
      <c r="F494" s="73">
        <f t="shared" si="857"/>
        <v>1573</v>
      </c>
      <c r="G494" s="73">
        <f t="shared" si="856"/>
        <v>1287</v>
      </c>
      <c r="H494" s="73">
        <f t="shared" si="856"/>
        <v>1573</v>
      </c>
      <c r="I494" s="73">
        <f t="shared" si="856"/>
        <v>1242.5999999999999</v>
      </c>
      <c r="J494" s="73">
        <f t="shared" si="856"/>
        <v>1243</v>
      </c>
      <c r="K494" s="73">
        <f t="shared" ref="K494:L494" si="858">K495+K504</f>
        <v>1242.5999999999999</v>
      </c>
      <c r="L494" s="292">
        <f t="shared" si="858"/>
        <v>1183</v>
      </c>
      <c r="M494" s="292">
        <f t="shared" ref="M494:P494" si="859">M495+M504</f>
        <v>113</v>
      </c>
      <c r="N494" s="292">
        <f t="shared" si="859"/>
        <v>345</v>
      </c>
      <c r="O494" s="292">
        <f t="shared" si="859"/>
        <v>335</v>
      </c>
      <c r="P494" s="292">
        <f t="shared" si="859"/>
        <v>390</v>
      </c>
      <c r="Q494" s="117">
        <f t="shared" si="740"/>
        <v>1183</v>
      </c>
      <c r="R494" s="117">
        <f t="shared" si="741"/>
        <v>0</v>
      </c>
      <c r="S494" s="292">
        <f t="shared" si="856"/>
        <v>1216</v>
      </c>
      <c r="T494" s="292">
        <f t="shared" si="856"/>
        <v>1219</v>
      </c>
      <c r="U494" s="292">
        <f t="shared" si="856"/>
        <v>1219</v>
      </c>
    </row>
    <row r="495" spans="1:21" ht="14.25">
      <c r="A495" s="34"/>
      <c r="B495" s="24" t="s">
        <v>153</v>
      </c>
      <c r="C495" s="12"/>
      <c r="D495" s="73">
        <f t="shared" ref="D495:U495" si="860">D496</f>
        <v>1171</v>
      </c>
      <c r="E495" s="73">
        <f t="shared" si="860"/>
        <v>1124</v>
      </c>
      <c r="F495" s="73">
        <f t="shared" si="860"/>
        <v>1561</v>
      </c>
      <c r="G495" s="73">
        <f t="shared" si="860"/>
        <v>1275</v>
      </c>
      <c r="H495" s="73">
        <f t="shared" si="860"/>
        <v>1561</v>
      </c>
      <c r="I495" s="73">
        <f t="shared" si="860"/>
        <v>1242.5999999999999</v>
      </c>
      <c r="J495" s="73">
        <f t="shared" si="860"/>
        <v>1243</v>
      </c>
      <c r="K495" s="73">
        <f t="shared" si="860"/>
        <v>1242.5999999999999</v>
      </c>
      <c r="L495" s="292">
        <f t="shared" si="860"/>
        <v>1183</v>
      </c>
      <c r="M495" s="292">
        <f t="shared" si="860"/>
        <v>113</v>
      </c>
      <c r="N495" s="292">
        <f t="shared" si="860"/>
        <v>345</v>
      </c>
      <c r="O495" s="292">
        <f t="shared" si="860"/>
        <v>335</v>
      </c>
      <c r="P495" s="292">
        <f t="shared" si="860"/>
        <v>390</v>
      </c>
      <c r="Q495" s="117">
        <f t="shared" si="740"/>
        <v>1183</v>
      </c>
      <c r="R495" s="117">
        <f t="shared" si="741"/>
        <v>0</v>
      </c>
      <c r="S495" s="292">
        <f t="shared" si="860"/>
        <v>1216</v>
      </c>
      <c r="T495" s="292">
        <f t="shared" si="860"/>
        <v>1219</v>
      </c>
      <c r="U495" s="292">
        <f t="shared" si="860"/>
        <v>1219</v>
      </c>
    </row>
    <row r="496" spans="1:21" ht="15">
      <c r="A496" s="34"/>
      <c r="B496" s="33" t="s">
        <v>154</v>
      </c>
      <c r="C496" s="12">
        <v>1</v>
      </c>
      <c r="D496" s="69">
        <f>D497+D499+D500+D501+D502+D503</f>
        <v>1171</v>
      </c>
      <c r="E496" s="69">
        <f t="shared" ref="E496:U496" si="861">E497+E499+E500+E501+E502+E503</f>
        <v>1124</v>
      </c>
      <c r="F496" s="69">
        <f t="shared" si="861"/>
        <v>1561</v>
      </c>
      <c r="G496" s="69">
        <f t="shared" si="861"/>
        <v>1275</v>
      </c>
      <c r="H496" s="69">
        <f t="shared" si="861"/>
        <v>1561</v>
      </c>
      <c r="I496" s="69">
        <f t="shared" si="861"/>
        <v>1242.5999999999999</v>
      </c>
      <c r="J496" s="69">
        <f t="shared" si="861"/>
        <v>1243</v>
      </c>
      <c r="K496" s="69">
        <f t="shared" si="861"/>
        <v>1242.5999999999999</v>
      </c>
      <c r="L496" s="283">
        <f t="shared" si="861"/>
        <v>1183</v>
      </c>
      <c r="M496" s="283">
        <f t="shared" ref="M496:P496" si="862">M497+M499+M500+M501+M502+M503</f>
        <v>113</v>
      </c>
      <c r="N496" s="283">
        <f t="shared" si="862"/>
        <v>345</v>
      </c>
      <c r="O496" s="283">
        <f t="shared" si="862"/>
        <v>335</v>
      </c>
      <c r="P496" s="283">
        <f t="shared" si="862"/>
        <v>390</v>
      </c>
      <c r="Q496" s="117">
        <f t="shared" si="740"/>
        <v>1183</v>
      </c>
      <c r="R496" s="117">
        <f t="shared" si="741"/>
        <v>0</v>
      </c>
      <c r="S496" s="283">
        <f t="shared" si="861"/>
        <v>1216</v>
      </c>
      <c r="T496" s="283">
        <f t="shared" si="861"/>
        <v>1219</v>
      </c>
      <c r="U496" s="283">
        <f t="shared" si="861"/>
        <v>1219</v>
      </c>
    </row>
    <row r="497" spans="1:21" ht="15.75" customHeight="1">
      <c r="A497" s="34"/>
      <c r="B497" s="33" t="s">
        <v>578</v>
      </c>
      <c r="C497" s="12">
        <v>10</v>
      </c>
      <c r="D497" s="68">
        <v>100</v>
      </c>
      <c r="E497" s="197">
        <v>60</v>
      </c>
      <c r="F497" s="68">
        <v>120</v>
      </c>
      <c r="G497" s="68">
        <v>120</v>
      </c>
      <c r="H497" s="68">
        <v>120</v>
      </c>
      <c r="I497" s="197">
        <v>100</v>
      </c>
      <c r="J497" s="197">
        <v>100</v>
      </c>
      <c r="K497" s="197">
        <v>100</v>
      </c>
      <c r="L497" s="282">
        <v>50</v>
      </c>
      <c r="M497" s="282">
        <v>0</v>
      </c>
      <c r="N497" s="282">
        <v>25</v>
      </c>
      <c r="O497" s="282">
        <v>25</v>
      </c>
      <c r="P497" s="282">
        <v>0</v>
      </c>
      <c r="Q497" s="117">
        <f t="shared" si="740"/>
        <v>50</v>
      </c>
      <c r="R497" s="117">
        <f t="shared" si="741"/>
        <v>0</v>
      </c>
      <c r="S497" s="282">
        <v>50</v>
      </c>
      <c r="T497" s="282">
        <v>50</v>
      </c>
      <c r="U497" s="282">
        <v>50</v>
      </c>
    </row>
    <row r="498" spans="1:21" ht="15" hidden="1" customHeight="1">
      <c r="A498" s="34"/>
      <c r="B498" s="33" t="s">
        <v>469</v>
      </c>
      <c r="C498" s="12"/>
      <c r="D498" s="123"/>
      <c r="E498" s="197"/>
      <c r="F498" s="123"/>
      <c r="G498" s="123"/>
      <c r="H498" s="123"/>
      <c r="I498" s="197"/>
      <c r="J498" s="197"/>
      <c r="K498" s="197"/>
      <c r="L498" s="282"/>
      <c r="M498" s="282"/>
      <c r="N498" s="282"/>
      <c r="O498" s="282"/>
      <c r="P498" s="282"/>
      <c r="Q498" s="117">
        <f t="shared" si="740"/>
        <v>0</v>
      </c>
      <c r="R498" s="117">
        <f t="shared" si="741"/>
        <v>0</v>
      </c>
      <c r="S498" s="282"/>
      <c r="T498" s="282"/>
      <c r="U498" s="282"/>
    </row>
    <row r="499" spans="1:21" ht="15" customHeight="1">
      <c r="A499" s="34"/>
      <c r="B499" s="33" t="s">
        <v>588</v>
      </c>
      <c r="C499" s="12">
        <v>20</v>
      </c>
      <c r="D499" s="68">
        <v>780</v>
      </c>
      <c r="E499" s="197">
        <v>616.39</v>
      </c>
      <c r="F499" s="68">
        <v>626</v>
      </c>
      <c r="G499" s="68">
        <f>780-154</f>
        <v>626</v>
      </c>
      <c r="H499" s="68">
        <v>626</v>
      </c>
      <c r="I499" s="197">
        <v>620</v>
      </c>
      <c r="J499" s="197">
        <v>620</v>
      </c>
      <c r="K499" s="197">
        <v>620</v>
      </c>
      <c r="L499" s="282">
        <v>500</v>
      </c>
      <c r="M499" s="282">
        <v>113</v>
      </c>
      <c r="N499" s="282">
        <v>140</v>
      </c>
      <c r="O499" s="282">
        <v>130</v>
      </c>
      <c r="P499" s="282">
        <f>103+14</f>
        <v>117</v>
      </c>
      <c r="Q499" s="117">
        <f t="shared" si="740"/>
        <v>500</v>
      </c>
      <c r="R499" s="117">
        <f t="shared" si="741"/>
        <v>0</v>
      </c>
      <c r="S499" s="282">
        <v>533</v>
      </c>
      <c r="T499" s="282">
        <v>536</v>
      </c>
      <c r="U499" s="282">
        <v>536</v>
      </c>
    </row>
    <row r="500" spans="1:21" ht="13.5" customHeight="1">
      <c r="A500" s="34"/>
      <c r="B500" s="33" t="s">
        <v>262</v>
      </c>
      <c r="C500" s="12" t="s">
        <v>269</v>
      </c>
      <c r="D500" s="68">
        <v>291</v>
      </c>
      <c r="E500" s="197">
        <v>447.61</v>
      </c>
      <c r="F500" s="68">
        <v>815</v>
      </c>
      <c r="G500" s="68">
        <f>375+154</f>
        <v>529</v>
      </c>
      <c r="H500" s="68">
        <v>815</v>
      </c>
      <c r="I500" s="197">
        <v>522.6</v>
      </c>
      <c r="J500" s="197">
        <v>523</v>
      </c>
      <c r="K500" s="197">
        <v>522.6</v>
      </c>
      <c r="L500" s="282">
        <v>572</v>
      </c>
      <c r="M500" s="282">
        <v>0</v>
      </c>
      <c r="N500" s="282">
        <v>180</v>
      </c>
      <c r="O500" s="282">
        <v>180</v>
      </c>
      <c r="P500" s="282">
        <v>212</v>
      </c>
      <c r="Q500" s="117">
        <f t="shared" si="740"/>
        <v>572</v>
      </c>
      <c r="R500" s="117">
        <f t="shared" si="741"/>
        <v>0</v>
      </c>
      <c r="S500" s="282">
        <v>572</v>
      </c>
      <c r="T500" s="282">
        <v>572</v>
      </c>
      <c r="U500" s="282">
        <v>572</v>
      </c>
    </row>
    <row r="501" spans="1:21" ht="13.5" customHeight="1">
      <c r="A501" s="34"/>
      <c r="B501" s="33" t="s">
        <v>638</v>
      </c>
      <c r="C501" s="12" t="s">
        <v>639</v>
      </c>
      <c r="D501" s="68"/>
      <c r="E501" s="197"/>
      <c r="F501" s="68"/>
      <c r="G501" s="68"/>
      <c r="H501" s="68"/>
      <c r="I501" s="197"/>
      <c r="J501" s="197"/>
      <c r="K501" s="197"/>
      <c r="L501" s="282">
        <v>61</v>
      </c>
      <c r="M501" s="282"/>
      <c r="N501" s="282"/>
      <c r="O501" s="282"/>
      <c r="P501" s="282">
        <v>61</v>
      </c>
      <c r="Q501" s="117">
        <f t="shared" si="740"/>
        <v>61</v>
      </c>
      <c r="R501" s="117">
        <f t="shared" si="741"/>
        <v>0</v>
      </c>
      <c r="S501" s="282">
        <v>61</v>
      </c>
      <c r="T501" s="282">
        <v>61</v>
      </c>
      <c r="U501" s="282">
        <v>61</v>
      </c>
    </row>
    <row r="502" spans="1:21" ht="13.5" hidden="1" customHeight="1">
      <c r="A502" s="34"/>
      <c r="B502" s="33" t="s">
        <v>424</v>
      </c>
      <c r="C502" s="12" t="s">
        <v>637</v>
      </c>
      <c r="D502" s="68"/>
      <c r="E502" s="197"/>
      <c r="F502" s="68"/>
      <c r="G502" s="68"/>
      <c r="H502" s="68"/>
      <c r="I502" s="197"/>
      <c r="J502" s="197"/>
      <c r="K502" s="197"/>
      <c r="L502" s="282"/>
      <c r="M502" s="282"/>
      <c r="N502" s="282"/>
      <c r="O502" s="282"/>
      <c r="P502" s="282"/>
      <c r="Q502" s="117">
        <f t="shared" si="740"/>
        <v>0</v>
      </c>
      <c r="R502" s="117">
        <f t="shared" si="741"/>
        <v>0</v>
      </c>
      <c r="S502" s="282"/>
      <c r="T502" s="282"/>
      <c r="U502" s="282"/>
    </row>
    <row r="503" spans="1:21" ht="21" hidden="1" customHeight="1">
      <c r="A503" s="34"/>
      <c r="B503" s="33" t="s">
        <v>164</v>
      </c>
      <c r="C503" s="12">
        <v>85.01</v>
      </c>
      <c r="D503" s="68"/>
      <c r="E503" s="197"/>
      <c r="F503" s="68"/>
      <c r="G503" s="68"/>
      <c r="H503" s="68"/>
      <c r="I503" s="197"/>
      <c r="J503" s="197"/>
      <c r="K503" s="197"/>
      <c r="L503" s="282"/>
      <c r="M503" s="282"/>
      <c r="N503" s="282"/>
      <c r="O503" s="282"/>
      <c r="P503" s="282"/>
      <c r="Q503" s="117">
        <f t="shared" si="740"/>
        <v>0</v>
      </c>
      <c r="R503" s="117">
        <f t="shared" si="741"/>
        <v>0</v>
      </c>
      <c r="S503" s="282"/>
      <c r="T503" s="282"/>
      <c r="U503" s="282"/>
    </row>
    <row r="504" spans="1:21" ht="15.75" hidden="1" customHeight="1">
      <c r="A504" s="34"/>
      <c r="B504" s="26" t="s">
        <v>165</v>
      </c>
      <c r="C504" s="12"/>
      <c r="D504" s="69">
        <f t="shared" ref="D504:U504" si="863">D505+D509</f>
        <v>160</v>
      </c>
      <c r="E504" s="69">
        <f t="shared" ref="E504:F504" si="864">E505+E509</f>
        <v>11.6</v>
      </c>
      <c r="F504" s="69">
        <f t="shared" si="864"/>
        <v>12</v>
      </c>
      <c r="G504" s="69">
        <f t="shared" si="863"/>
        <v>12</v>
      </c>
      <c r="H504" s="69">
        <f t="shared" si="863"/>
        <v>12</v>
      </c>
      <c r="I504" s="69">
        <f t="shared" si="863"/>
        <v>0</v>
      </c>
      <c r="J504" s="69">
        <f t="shared" si="863"/>
        <v>0</v>
      </c>
      <c r="K504" s="69">
        <f t="shared" ref="K504:L504" si="865">K505+K509</f>
        <v>0</v>
      </c>
      <c r="L504" s="283">
        <f t="shared" si="865"/>
        <v>0</v>
      </c>
      <c r="M504" s="283">
        <f t="shared" ref="M504:P504" si="866">M505+M509</f>
        <v>0</v>
      </c>
      <c r="N504" s="283">
        <f t="shared" si="866"/>
        <v>0</v>
      </c>
      <c r="O504" s="283">
        <f t="shared" si="866"/>
        <v>0</v>
      </c>
      <c r="P504" s="283">
        <f t="shared" si="866"/>
        <v>0</v>
      </c>
      <c r="Q504" s="117">
        <f t="shared" si="740"/>
        <v>0</v>
      </c>
      <c r="R504" s="117">
        <f t="shared" si="741"/>
        <v>0</v>
      </c>
      <c r="S504" s="283">
        <f t="shared" si="863"/>
        <v>0</v>
      </c>
      <c r="T504" s="283">
        <f t="shared" si="863"/>
        <v>0</v>
      </c>
      <c r="U504" s="283">
        <f t="shared" si="863"/>
        <v>0</v>
      </c>
    </row>
    <row r="505" spans="1:21" ht="9.75" hidden="1" customHeight="1">
      <c r="A505" s="40"/>
      <c r="B505" s="16" t="s">
        <v>174</v>
      </c>
      <c r="C505" s="96">
        <v>56</v>
      </c>
      <c r="D505" s="118">
        <f t="shared" ref="D505:H505" si="867">D506+D507+D508</f>
        <v>0</v>
      </c>
      <c r="E505" s="197"/>
      <c r="F505" s="68">
        <f t="shared" ref="F505" si="868">F506+F507+F508</f>
        <v>0</v>
      </c>
      <c r="G505" s="68">
        <f t="shared" si="867"/>
        <v>0</v>
      </c>
      <c r="H505" s="68">
        <f t="shared" si="867"/>
        <v>0</v>
      </c>
      <c r="I505" s="197"/>
      <c r="J505" s="197"/>
      <c r="K505" s="197"/>
      <c r="L505" s="282"/>
      <c r="M505" s="282"/>
      <c r="N505" s="282"/>
      <c r="O505" s="282"/>
      <c r="P505" s="282"/>
      <c r="Q505" s="117">
        <f t="shared" si="740"/>
        <v>0</v>
      </c>
      <c r="R505" s="117">
        <f t="shared" si="741"/>
        <v>0</v>
      </c>
      <c r="S505" s="282"/>
      <c r="T505" s="282"/>
      <c r="U505" s="282"/>
    </row>
    <row r="506" spans="1:21" ht="15.75" hidden="1" customHeight="1">
      <c r="A506" s="34"/>
      <c r="B506" s="21" t="s">
        <v>205</v>
      </c>
      <c r="C506" s="91" t="s">
        <v>206</v>
      </c>
      <c r="D506" s="68">
        <v>0</v>
      </c>
      <c r="E506" s="197"/>
      <c r="F506" s="68">
        <v>0</v>
      </c>
      <c r="G506" s="68">
        <v>0</v>
      </c>
      <c r="H506" s="68">
        <v>0</v>
      </c>
      <c r="I506" s="197"/>
      <c r="J506" s="197"/>
      <c r="K506" s="197"/>
      <c r="L506" s="282"/>
      <c r="M506" s="282"/>
      <c r="N506" s="282"/>
      <c r="O506" s="282"/>
      <c r="P506" s="282"/>
      <c r="Q506" s="117">
        <f t="shared" si="740"/>
        <v>0</v>
      </c>
      <c r="R506" s="117">
        <f t="shared" si="741"/>
        <v>0</v>
      </c>
      <c r="S506" s="282"/>
      <c r="T506" s="282"/>
      <c r="U506" s="282"/>
    </row>
    <row r="507" spans="1:21" ht="18.75" hidden="1" customHeight="1">
      <c r="A507" s="34"/>
      <c r="B507" s="33" t="s">
        <v>207</v>
      </c>
      <c r="C507" s="91" t="s">
        <v>208</v>
      </c>
      <c r="D507" s="68">
        <v>0</v>
      </c>
      <c r="E507" s="197"/>
      <c r="F507" s="68">
        <v>0</v>
      </c>
      <c r="G507" s="68">
        <v>0</v>
      </c>
      <c r="H507" s="68">
        <v>0</v>
      </c>
      <c r="I507" s="197"/>
      <c r="J507" s="197"/>
      <c r="K507" s="197"/>
      <c r="L507" s="282"/>
      <c r="M507" s="282"/>
      <c r="N507" s="282"/>
      <c r="O507" s="282"/>
      <c r="P507" s="282"/>
      <c r="Q507" s="117">
        <f t="shared" si="740"/>
        <v>0</v>
      </c>
      <c r="R507" s="117">
        <f t="shared" si="741"/>
        <v>0</v>
      </c>
      <c r="S507" s="282"/>
      <c r="T507" s="282"/>
      <c r="U507" s="282"/>
    </row>
    <row r="508" spans="1:21" ht="12" hidden="1" customHeight="1">
      <c r="A508" s="34"/>
      <c r="B508" s="33" t="s">
        <v>210</v>
      </c>
      <c r="C508" s="91" t="s">
        <v>209</v>
      </c>
      <c r="D508" s="68">
        <v>0</v>
      </c>
      <c r="E508" s="197"/>
      <c r="F508" s="68">
        <v>0</v>
      </c>
      <c r="G508" s="68">
        <v>0</v>
      </c>
      <c r="H508" s="68">
        <v>0</v>
      </c>
      <c r="I508" s="197"/>
      <c r="J508" s="197"/>
      <c r="K508" s="197"/>
      <c r="L508" s="282"/>
      <c r="M508" s="282"/>
      <c r="N508" s="282"/>
      <c r="O508" s="282"/>
      <c r="P508" s="282"/>
      <c r="Q508" s="117">
        <f t="shared" si="740"/>
        <v>0</v>
      </c>
      <c r="R508" s="117">
        <f t="shared" si="741"/>
        <v>0</v>
      </c>
      <c r="S508" s="282"/>
      <c r="T508" s="282"/>
      <c r="U508" s="282"/>
    </row>
    <row r="509" spans="1:21" ht="13.5" hidden="1" customHeight="1">
      <c r="A509" s="34"/>
      <c r="B509" s="33" t="s">
        <v>194</v>
      </c>
      <c r="C509" s="12">
        <v>70</v>
      </c>
      <c r="D509" s="68">
        <v>160</v>
      </c>
      <c r="E509" s="197">
        <v>11.6</v>
      </c>
      <c r="F509" s="68">
        <v>12</v>
      </c>
      <c r="G509" s="68">
        <v>12</v>
      </c>
      <c r="H509" s="68">
        <v>12</v>
      </c>
      <c r="I509" s="197"/>
      <c r="J509" s="197"/>
      <c r="K509" s="197"/>
      <c r="L509" s="282">
        <v>0</v>
      </c>
      <c r="M509" s="282">
        <v>0</v>
      </c>
      <c r="N509" s="282">
        <v>0</v>
      </c>
      <c r="O509" s="282">
        <v>0</v>
      </c>
      <c r="P509" s="282">
        <v>0</v>
      </c>
      <c r="Q509" s="117">
        <f t="shared" si="740"/>
        <v>0</v>
      </c>
      <c r="R509" s="117">
        <f t="shared" si="741"/>
        <v>0</v>
      </c>
      <c r="S509" s="282"/>
      <c r="T509" s="282"/>
      <c r="U509" s="282"/>
    </row>
    <row r="510" spans="1:21" ht="26.25" customHeight="1">
      <c r="A510" s="34" t="s">
        <v>263</v>
      </c>
      <c r="B510" s="50" t="s">
        <v>264</v>
      </c>
      <c r="C510" s="84" t="s">
        <v>265</v>
      </c>
      <c r="D510" s="73">
        <f t="shared" ref="D510:U510" si="869">D511+D519</f>
        <v>834</v>
      </c>
      <c r="E510" s="73">
        <f t="shared" ref="E510:F510" si="870">E511+E519</f>
        <v>925</v>
      </c>
      <c r="F510" s="73">
        <f t="shared" si="870"/>
        <v>990</v>
      </c>
      <c r="G510" s="73">
        <f t="shared" si="869"/>
        <v>950</v>
      </c>
      <c r="H510" s="73">
        <f t="shared" si="869"/>
        <v>990</v>
      </c>
      <c r="I510" s="73">
        <f t="shared" si="869"/>
        <v>977</v>
      </c>
      <c r="J510" s="73">
        <f t="shared" si="869"/>
        <v>977</v>
      </c>
      <c r="K510" s="73">
        <f t="shared" ref="K510:L510" si="871">K511+K519</f>
        <v>977</v>
      </c>
      <c r="L510" s="292">
        <f t="shared" si="871"/>
        <v>1028</v>
      </c>
      <c r="M510" s="292">
        <f t="shared" ref="M510:P510" si="872">M511+M519</f>
        <v>120</v>
      </c>
      <c r="N510" s="292">
        <f t="shared" si="872"/>
        <v>295</v>
      </c>
      <c r="O510" s="292">
        <f t="shared" si="872"/>
        <v>315</v>
      </c>
      <c r="P510" s="292">
        <f t="shared" si="872"/>
        <v>298</v>
      </c>
      <c r="Q510" s="117">
        <f t="shared" si="740"/>
        <v>1028</v>
      </c>
      <c r="R510" s="117">
        <f t="shared" si="741"/>
        <v>0</v>
      </c>
      <c r="S510" s="292">
        <f t="shared" si="869"/>
        <v>1058</v>
      </c>
      <c r="T510" s="292">
        <f t="shared" si="869"/>
        <v>1058</v>
      </c>
      <c r="U510" s="292">
        <f t="shared" si="869"/>
        <v>1060</v>
      </c>
    </row>
    <row r="511" spans="1:21" ht="14.25">
      <c r="A511" s="34"/>
      <c r="B511" s="24" t="s">
        <v>153</v>
      </c>
      <c r="C511" s="12"/>
      <c r="D511" s="73">
        <f t="shared" ref="D511:U511" si="873">D512</f>
        <v>834</v>
      </c>
      <c r="E511" s="73">
        <f t="shared" si="873"/>
        <v>865</v>
      </c>
      <c r="F511" s="73">
        <f t="shared" si="873"/>
        <v>930</v>
      </c>
      <c r="G511" s="73">
        <f t="shared" si="873"/>
        <v>890</v>
      </c>
      <c r="H511" s="73">
        <f t="shared" si="873"/>
        <v>930</v>
      </c>
      <c r="I511" s="73">
        <f t="shared" si="873"/>
        <v>977</v>
      </c>
      <c r="J511" s="73">
        <f t="shared" si="873"/>
        <v>977</v>
      </c>
      <c r="K511" s="73">
        <f t="shared" si="873"/>
        <v>977</v>
      </c>
      <c r="L511" s="292">
        <f t="shared" si="873"/>
        <v>1028</v>
      </c>
      <c r="M511" s="292">
        <f t="shared" si="873"/>
        <v>120</v>
      </c>
      <c r="N511" s="292">
        <f t="shared" si="873"/>
        <v>295</v>
      </c>
      <c r="O511" s="292">
        <f t="shared" si="873"/>
        <v>315</v>
      </c>
      <c r="P511" s="292">
        <f t="shared" si="873"/>
        <v>298</v>
      </c>
      <c r="Q511" s="117">
        <f t="shared" si="740"/>
        <v>1028</v>
      </c>
      <c r="R511" s="117">
        <f t="shared" si="741"/>
        <v>0</v>
      </c>
      <c r="S511" s="292">
        <f t="shared" si="873"/>
        <v>1058</v>
      </c>
      <c r="T511" s="292">
        <f t="shared" si="873"/>
        <v>1058</v>
      </c>
      <c r="U511" s="292">
        <f t="shared" si="873"/>
        <v>1060</v>
      </c>
    </row>
    <row r="512" spans="1:21" ht="15">
      <c r="A512" s="34"/>
      <c r="B512" s="33" t="s">
        <v>154</v>
      </c>
      <c r="C512" s="12">
        <v>1</v>
      </c>
      <c r="D512" s="69">
        <f>D513+D515+D516+D517</f>
        <v>834</v>
      </c>
      <c r="E512" s="69">
        <f t="shared" ref="E512:U512" si="874">E513+E515+E516+E517</f>
        <v>865</v>
      </c>
      <c r="F512" s="69">
        <f t="shared" si="874"/>
        <v>930</v>
      </c>
      <c r="G512" s="69">
        <f t="shared" si="874"/>
        <v>890</v>
      </c>
      <c r="H512" s="69">
        <f t="shared" si="874"/>
        <v>930</v>
      </c>
      <c r="I512" s="69">
        <f t="shared" si="874"/>
        <v>977</v>
      </c>
      <c r="J512" s="69">
        <f t="shared" si="874"/>
        <v>977</v>
      </c>
      <c r="K512" s="69">
        <f t="shared" si="874"/>
        <v>977</v>
      </c>
      <c r="L512" s="283">
        <f t="shared" si="874"/>
        <v>1028</v>
      </c>
      <c r="M512" s="283">
        <f t="shared" ref="M512:P512" si="875">M513+M515+M516+M517</f>
        <v>120</v>
      </c>
      <c r="N512" s="283">
        <f t="shared" si="875"/>
        <v>295</v>
      </c>
      <c r="O512" s="283">
        <f t="shared" si="875"/>
        <v>315</v>
      </c>
      <c r="P512" s="283">
        <f t="shared" si="875"/>
        <v>298</v>
      </c>
      <c r="Q512" s="117">
        <f t="shared" si="740"/>
        <v>1028</v>
      </c>
      <c r="R512" s="117">
        <f t="shared" si="741"/>
        <v>0</v>
      </c>
      <c r="S512" s="283">
        <f t="shared" si="874"/>
        <v>1058</v>
      </c>
      <c r="T512" s="283">
        <f t="shared" si="874"/>
        <v>1058</v>
      </c>
      <c r="U512" s="283">
        <f t="shared" si="874"/>
        <v>1060</v>
      </c>
    </row>
    <row r="513" spans="1:21" ht="14.25" customHeight="1">
      <c r="A513" s="34"/>
      <c r="B513" s="33" t="s">
        <v>155</v>
      </c>
      <c r="C513" s="12">
        <v>10</v>
      </c>
      <c r="D513" s="68">
        <v>55</v>
      </c>
      <c r="E513" s="197">
        <v>35</v>
      </c>
      <c r="F513" s="68">
        <v>70</v>
      </c>
      <c r="G513" s="68">
        <v>70</v>
      </c>
      <c r="H513" s="68">
        <v>70</v>
      </c>
      <c r="I513" s="197">
        <v>60</v>
      </c>
      <c r="J513" s="197">
        <v>60</v>
      </c>
      <c r="K513" s="197">
        <v>60</v>
      </c>
      <c r="L513" s="282">
        <v>30</v>
      </c>
      <c r="M513" s="282"/>
      <c r="N513" s="282">
        <v>15</v>
      </c>
      <c r="O513" s="282">
        <v>15</v>
      </c>
      <c r="P513" s="282"/>
      <c r="Q513" s="117">
        <f t="shared" si="740"/>
        <v>30</v>
      </c>
      <c r="R513" s="117">
        <f t="shared" si="741"/>
        <v>0</v>
      </c>
      <c r="S513" s="282">
        <v>30</v>
      </c>
      <c r="T513" s="282">
        <v>30</v>
      </c>
      <c r="U513" s="282">
        <v>30</v>
      </c>
    </row>
    <row r="514" spans="1:21" ht="15" hidden="1" customHeight="1">
      <c r="A514" s="34"/>
      <c r="B514" s="33" t="s">
        <v>469</v>
      </c>
      <c r="C514" s="12"/>
      <c r="D514" s="68"/>
      <c r="E514" s="197"/>
      <c r="F514" s="68"/>
      <c r="G514" s="68"/>
      <c r="H514" s="68"/>
      <c r="I514" s="197"/>
      <c r="J514" s="197"/>
      <c r="K514" s="197"/>
      <c r="L514" s="282"/>
      <c r="M514" s="282"/>
      <c r="N514" s="282"/>
      <c r="O514" s="282"/>
      <c r="P514" s="282"/>
      <c r="Q514" s="117">
        <f t="shared" si="740"/>
        <v>0</v>
      </c>
      <c r="R514" s="117">
        <f t="shared" si="741"/>
        <v>0</v>
      </c>
      <c r="S514" s="282"/>
      <c r="T514" s="282"/>
      <c r="U514" s="282"/>
    </row>
    <row r="515" spans="1:21" ht="15">
      <c r="A515" s="34"/>
      <c r="B515" s="33" t="s">
        <v>588</v>
      </c>
      <c r="C515" s="12">
        <v>20</v>
      </c>
      <c r="D515" s="68">
        <v>673</v>
      </c>
      <c r="E515" s="197">
        <v>599</v>
      </c>
      <c r="F515" s="68">
        <v>600</v>
      </c>
      <c r="G515" s="68">
        <f>700-101+1</f>
        <v>600</v>
      </c>
      <c r="H515" s="68">
        <v>600</v>
      </c>
      <c r="I515" s="197">
        <v>598</v>
      </c>
      <c r="J515" s="197">
        <v>598</v>
      </c>
      <c r="K515" s="197">
        <v>598</v>
      </c>
      <c r="L515" s="282">
        <v>500</v>
      </c>
      <c r="M515" s="282">
        <v>120</v>
      </c>
      <c r="N515" s="282">
        <v>130</v>
      </c>
      <c r="O515" s="282">
        <v>150</v>
      </c>
      <c r="P515" s="282">
        <v>100</v>
      </c>
      <c r="Q515" s="117">
        <f t="shared" si="740"/>
        <v>500</v>
      </c>
      <c r="R515" s="117">
        <f t="shared" si="741"/>
        <v>0</v>
      </c>
      <c r="S515" s="282">
        <v>530</v>
      </c>
      <c r="T515" s="282">
        <v>530</v>
      </c>
      <c r="U515" s="282">
        <v>532</v>
      </c>
    </row>
    <row r="516" spans="1:21" ht="15" customHeight="1">
      <c r="A516" s="34"/>
      <c r="B516" s="33" t="s">
        <v>262</v>
      </c>
      <c r="C516" s="12" t="s">
        <v>269</v>
      </c>
      <c r="D516" s="68">
        <v>106</v>
      </c>
      <c r="E516" s="197">
        <v>231</v>
      </c>
      <c r="F516" s="68">
        <v>260</v>
      </c>
      <c r="G516" s="68">
        <f>120+100</f>
        <v>220</v>
      </c>
      <c r="H516" s="68">
        <v>260</v>
      </c>
      <c r="I516" s="197">
        <v>319</v>
      </c>
      <c r="J516" s="197">
        <v>319</v>
      </c>
      <c r="K516" s="197">
        <v>319</v>
      </c>
      <c r="L516" s="282">
        <v>450</v>
      </c>
      <c r="M516" s="282"/>
      <c r="N516" s="282">
        <v>150</v>
      </c>
      <c r="O516" s="282">
        <v>150</v>
      </c>
      <c r="P516" s="282">
        <v>150</v>
      </c>
      <c r="Q516" s="117">
        <f t="shared" si="740"/>
        <v>450</v>
      </c>
      <c r="R516" s="117">
        <f t="shared" si="741"/>
        <v>0</v>
      </c>
      <c r="S516" s="282">
        <v>450</v>
      </c>
      <c r="T516" s="282">
        <v>450</v>
      </c>
      <c r="U516" s="282">
        <v>450</v>
      </c>
    </row>
    <row r="517" spans="1:21" ht="15" customHeight="1">
      <c r="A517" s="34"/>
      <c r="B517" s="33" t="s">
        <v>640</v>
      </c>
      <c r="C517" s="12" t="s">
        <v>639</v>
      </c>
      <c r="D517" s="68"/>
      <c r="E517" s="197"/>
      <c r="F517" s="68"/>
      <c r="G517" s="68"/>
      <c r="H517" s="68"/>
      <c r="I517" s="197"/>
      <c r="J517" s="197"/>
      <c r="K517" s="197"/>
      <c r="L517" s="282">
        <v>48</v>
      </c>
      <c r="M517" s="282"/>
      <c r="N517" s="282"/>
      <c r="O517" s="282"/>
      <c r="P517" s="282">
        <v>48</v>
      </c>
      <c r="Q517" s="117">
        <f t="shared" si="740"/>
        <v>48</v>
      </c>
      <c r="R517" s="117">
        <f t="shared" si="741"/>
        <v>0</v>
      </c>
      <c r="S517" s="282">
        <v>48</v>
      </c>
      <c r="T517" s="282">
        <v>48</v>
      </c>
      <c r="U517" s="282">
        <v>48</v>
      </c>
    </row>
    <row r="518" spans="1:21" ht="15" hidden="1" customHeight="1">
      <c r="A518" s="34"/>
      <c r="B518" s="33" t="s">
        <v>164</v>
      </c>
      <c r="C518" s="12" t="s">
        <v>252</v>
      </c>
      <c r="D518" s="68"/>
      <c r="E518" s="197"/>
      <c r="F518" s="68"/>
      <c r="G518" s="68"/>
      <c r="H518" s="68"/>
      <c r="I518" s="197"/>
      <c r="J518" s="197"/>
      <c r="K518" s="197"/>
      <c r="L518" s="282"/>
      <c r="M518" s="282"/>
      <c r="N518" s="282"/>
      <c r="O518" s="282"/>
      <c r="P518" s="282"/>
      <c r="Q518" s="117">
        <f t="shared" si="740"/>
        <v>0</v>
      </c>
      <c r="R518" s="117">
        <f t="shared" si="741"/>
        <v>0</v>
      </c>
      <c r="S518" s="282"/>
      <c r="T518" s="282"/>
      <c r="U518" s="282"/>
    </row>
    <row r="519" spans="1:21" ht="17.25" hidden="1" customHeight="1">
      <c r="A519" s="34"/>
      <c r="B519" s="26" t="s">
        <v>165</v>
      </c>
      <c r="C519" s="12"/>
      <c r="D519" s="69">
        <f t="shared" ref="D519:U519" si="876">D520</f>
        <v>0</v>
      </c>
      <c r="E519" s="69">
        <f t="shared" si="876"/>
        <v>60</v>
      </c>
      <c r="F519" s="69">
        <f t="shared" si="876"/>
        <v>60</v>
      </c>
      <c r="G519" s="69">
        <f t="shared" si="876"/>
        <v>60</v>
      </c>
      <c r="H519" s="69">
        <f t="shared" si="876"/>
        <v>60</v>
      </c>
      <c r="I519" s="69">
        <f t="shared" si="876"/>
        <v>0</v>
      </c>
      <c r="J519" s="69">
        <f t="shared" si="876"/>
        <v>0</v>
      </c>
      <c r="K519" s="69">
        <f t="shared" si="876"/>
        <v>0</v>
      </c>
      <c r="L519" s="283">
        <f t="shared" si="876"/>
        <v>0</v>
      </c>
      <c r="M519" s="283">
        <f t="shared" si="876"/>
        <v>0</v>
      </c>
      <c r="N519" s="283">
        <f t="shared" si="876"/>
        <v>0</v>
      </c>
      <c r="O519" s="283">
        <f t="shared" si="876"/>
        <v>0</v>
      </c>
      <c r="P519" s="283">
        <f t="shared" si="876"/>
        <v>0</v>
      </c>
      <c r="Q519" s="117">
        <f t="shared" si="740"/>
        <v>0</v>
      </c>
      <c r="R519" s="117">
        <f t="shared" si="741"/>
        <v>0</v>
      </c>
      <c r="S519" s="283">
        <f t="shared" si="876"/>
        <v>0</v>
      </c>
      <c r="T519" s="283">
        <f t="shared" si="876"/>
        <v>0</v>
      </c>
      <c r="U519" s="283">
        <f t="shared" si="876"/>
        <v>0</v>
      </c>
    </row>
    <row r="520" spans="1:21" ht="16.5" hidden="1" customHeight="1">
      <c r="A520" s="34"/>
      <c r="B520" s="33" t="s">
        <v>194</v>
      </c>
      <c r="C520" s="12">
        <v>70</v>
      </c>
      <c r="D520" s="68"/>
      <c r="E520" s="197">
        <v>60</v>
      </c>
      <c r="F520" s="68">
        <v>60</v>
      </c>
      <c r="G520" s="68">
        <v>60</v>
      </c>
      <c r="H520" s="68">
        <v>60</v>
      </c>
      <c r="I520" s="197"/>
      <c r="J520" s="197"/>
      <c r="K520" s="197"/>
      <c r="L520" s="282">
        <v>0</v>
      </c>
      <c r="M520" s="282">
        <v>0</v>
      </c>
      <c r="N520" s="282">
        <v>0</v>
      </c>
      <c r="O520" s="282">
        <v>0</v>
      </c>
      <c r="P520" s="282">
        <v>0</v>
      </c>
      <c r="Q520" s="117">
        <f t="shared" si="740"/>
        <v>0</v>
      </c>
      <c r="R520" s="117">
        <f t="shared" si="741"/>
        <v>0</v>
      </c>
      <c r="S520" s="282"/>
      <c r="T520" s="282"/>
      <c r="U520" s="282"/>
    </row>
    <row r="521" spans="1:21" ht="28.5">
      <c r="A521" s="34" t="s">
        <v>266</v>
      </c>
      <c r="B521" s="50" t="s">
        <v>646</v>
      </c>
      <c r="C521" s="84" t="s">
        <v>267</v>
      </c>
      <c r="D521" s="73">
        <f t="shared" ref="D521:U521" si="877">D522+D530</f>
        <v>592</v>
      </c>
      <c r="E521" s="73">
        <f t="shared" ref="E521:F521" si="878">E522+E530</f>
        <v>1014.6999999999999</v>
      </c>
      <c r="F521" s="73">
        <f t="shared" si="878"/>
        <v>1064.4000000000001</v>
      </c>
      <c r="G521" s="73">
        <f t="shared" si="877"/>
        <v>692</v>
      </c>
      <c r="H521" s="73">
        <f t="shared" si="877"/>
        <v>1064.4000000000001</v>
      </c>
      <c r="I521" s="73">
        <f t="shared" si="877"/>
        <v>706</v>
      </c>
      <c r="J521" s="73">
        <f t="shared" si="877"/>
        <v>706</v>
      </c>
      <c r="K521" s="73">
        <f t="shared" ref="K521:L521" si="879">K522+K530</f>
        <v>708</v>
      </c>
      <c r="L521" s="292">
        <f t="shared" si="879"/>
        <v>615</v>
      </c>
      <c r="M521" s="292">
        <f t="shared" ref="M521:P521" si="880">M522+M530</f>
        <v>80</v>
      </c>
      <c r="N521" s="292">
        <f t="shared" si="880"/>
        <v>172</v>
      </c>
      <c r="O521" s="292">
        <f t="shared" si="880"/>
        <v>187</v>
      </c>
      <c r="P521" s="292">
        <f t="shared" si="880"/>
        <v>176</v>
      </c>
      <c r="Q521" s="117">
        <f t="shared" si="740"/>
        <v>615</v>
      </c>
      <c r="R521" s="117">
        <f t="shared" si="741"/>
        <v>0</v>
      </c>
      <c r="S521" s="292">
        <f t="shared" si="877"/>
        <v>665</v>
      </c>
      <c r="T521" s="292">
        <f t="shared" si="877"/>
        <v>665</v>
      </c>
      <c r="U521" s="292">
        <f t="shared" si="877"/>
        <v>675</v>
      </c>
    </row>
    <row r="522" spans="1:21" ht="14.25">
      <c r="A522" s="34"/>
      <c r="B522" s="24" t="s">
        <v>153</v>
      </c>
      <c r="C522" s="12"/>
      <c r="D522" s="73">
        <f t="shared" ref="D522:U522" si="881">D523</f>
        <v>592</v>
      </c>
      <c r="E522" s="73">
        <f t="shared" si="881"/>
        <v>735.3</v>
      </c>
      <c r="F522" s="73">
        <f t="shared" si="881"/>
        <v>776.4</v>
      </c>
      <c r="G522" s="73">
        <f t="shared" si="881"/>
        <v>566</v>
      </c>
      <c r="H522" s="73">
        <f t="shared" si="881"/>
        <v>776.4</v>
      </c>
      <c r="I522" s="73">
        <f t="shared" si="881"/>
        <v>706</v>
      </c>
      <c r="J522" s="73">
        <f t="shared" si="881"/>
        <v>706</v>
      </c>
      <c r="K522" s="73">
        <f t="shared" si="881"/>
        <v>708</v>
      </c>
      <c r="L522" s="292">
        <f t="shared" si="881"/>
        <v>615</v>
      </c>
      <c r="M522" s="292">
        <f t="shared" si="881"/>
        <v>80</v>
      </c>
      <c r="N522" s="292">
        <f t="shared" si="881"/>
        <v>172</v>
      </c>
      <c r="O522" s="292">
        <f t="shared" si="881"/>
        <v>187</v>
      </c>
      <c r="P522" s="292">
        <f t="shared" si="881"/>
        <v>176</v>
      </c>
      <c r="Q522" s="117">
        <f t="shared" si="740"/>
        <v>615</v>
      </c>
      <c r="R522" s="117">
        <f t="shared" si="741"/>
        <v>0</v>
      </c>
      <c r="S522" s="292">
        <f t="shared" si="881"/>
        <v>665</v>
      </c>
      <c r="T522" s="292">
        <f t="shared" si="881"/>
        <v>665</v>
      </c>
      <c r="U522" s="292">
        <f t="shared" si="881"/>
        <v>675</v>
      </c>
    </row>
    <row r="523" spans="1:21" ht="15">
      <c r="A523" s="34"/>
      <c r="B523" s="33" t="s">
        <v>154</v>
      </c>
      <c r="C523" s="12">
        <v>1</v>
      </c>
      <c r="D523" s="69">
        <f>D524+D526+D527+D528+D529</f>
        <v>592</v>
      </c>
      <c r="E523" s="69">
        <f t="shared" ref="E523:U523" si="882">E524+E526+E527+E528+E529</f>
        <v>735.3</v>
      </c>
      <c r="F523" s="69">
        <f t="shared" si="882"/>
        <v>776.4</v>
      </c>
      <c r="G523" s="69">
        <f t="shared" si="882"/>
        <v>566</v>
      </c>
      <c r="H523" s="69">
        <f t="shared" si="882"/>
        <v>776.4</v>
      </c>
      <c r="I523" s="69">
        <f t="shared" si="882"/>
        <v>706</v>
      </c>
      <c r="J523" s="69">
        <f t="shared" si="882"/>
        <v>706</v>
      </c>
      <c r="K523" s="69">
        <f t="shared" si="882"/>
        <v>708</v>
      </c>
      <c r="L523" s="283">
        <f t="shared" si="882"/>
        <v>615</v>
      </c>
      <c r="M523" s="283">
        <f t="shared" ref="M523:P523" si="883">M524+M526+M527+M528+M529</f>
        <v>80</v>
      </c>
      <c r="N523" s="283">
        <f t="shared" si="883"/>
        <v>172</v>
      </c>
      <c r="O523" s="283">
        <f t="shared" si="883"/>
        <v>187</v>
      </c>
      <c r="P523" s="283">
        <f t="shared" si="883"/>
        <v>176</v>
      </c>
      <c r="Q523" s="117">
        <f t="shared" si="740"/>
        <v>615</v>
      </c>
      <c r="R523" s="117">
        <f t="shared" si="741"/>
        <v>0</v>
      </c>
      <c r="S523" s="283">
        <f t="shared" si="882"/>
        <v>665</v>
      </c>
      <c r="T523" s="283">
        <f t="shared" si="882"/>
        <v>665</v>
      </c>
      <c r="U523" s="283">
        <f t="shared" si="882"/>
        <v>675</v>
      </c>
    </row>
    <row r="524" spans="1:21" ht="15">
      <c r="A524" s="34"/>
      <c r="B524" s="33" t="s">
        <v>578</v>
      </c>
      <c r="C524" s="12">
        <v>10</v>
      </c>
      <c r="D524" s="68">
        <v>46</v>
      </c>
      <c r="E524" s="197">
        <v>31</v>
      </c>
      <c r="F524" s="68">
        <v>48</v>
      </c>
      <c r="G524" s="68">
        <v>48</v>
      </c>
      <c r="H524" s="68">
        <v>48</v>
      </c>
      <c r="I524" s="197">
        <v>47</v>
      </c>
      <c r="J524" s="197">
        <v>47</v>
      </c>
      <c r="K524" s="197">
        <v>47</v>
      </c>
      <c r="L524" s="282">
        <v>25</v>
      </c>
      <c r="M524" s="282"/>
      <c r="N524" s="282">
        <v>15</v>
      </c>
      <c r="O524" s="282">
        <v>10</v>
      </c>
      <c r="P524" s="282"/>
      <c r="Q524" s="117">
        <f t="shared" si="740"/>
        <v>25</v>
      </c>
      <c r="R524" s="117">
        <f t="shared" si="741"/>
        <v>0</v>
      </c>
      <c r="S524" s="282">
        <v>25</v>
      </c>
      <c r="T524" s="282">
        <v>25</v>
      </c>
      <c r="U524" s="282">
        <v>25</v>
      </c>
    </row>
    <row r="525" spans="1:21" ht="0.75" customHeight="1">
      <c r="A525" s="34"/>
      <c r="B525" s="33" t="s">
        <v>469</v>
      </c>
      <c r="C525" s="12"/>
      <c r="D525" s="68"/>
      <c r="E525" s="197"/>
      <c r="F525" s="68"/>
      <c r="G525" s="68"/>
      <c r="H525" s="68"/>
      <c r="I525" s="197"/>
      <c r="J525" s="197"/>
      <c r="K525" s="197"/>
      <c r="L525" s="282"/>
      <c r="M525" s="282"/>
      <c r="N525" s="282"/>
      <c r="O525" s="282"/>
      <c r="P525" s="282"/>
      <c r="Q525" s="117">
        <f t="shared" ref="Q525:Q588" si="884">M525+N525+O525+P525</f>
        <v>0</v>
      </c>
      <c r="R525" s="117">
        <f t="shared" ref="R525:R588" si="885">L525-Q525</f>
        <v>0</v>
      </c>
      <c r="S525" s="282"/>
      <c r="T525" s="282"/>
      <c r="U525" s="282"/>
    </row>
    <row r="526" spans="1:21" ht="15">
      <c r="A526" s="34"/>
      <c r="B526" s="33" t="s">
        <v>588</v>
      </c>
      <c r="C526" s="12">
        <v>20</v>
      </c>
      <c r="D526" s="68">
        <v>482</v>
      </c>
      <c r="E526" s="197">
        <v>590.29999999999995</v>
      </c>
      <c r="F526" s="68">
        <v>595.4</v>
      </c>
      <c r="G526" s="68">
        <f>450-45</f>
        <v>405</v>
      </c>
      <c r="H526" s="68">
        <v>595.4</v>
      </c>
      <c r="I526" s="197">
        <v>488</v>
      </c>
      <c r="J526" s="197">
        <v>488</v>
      </c>
      <c r="K526" s="197">
        <v>509</v>
      </c>
      <c r="L526" s="282">
        <v>400</v>
      </c>
      <c r="M526" s="282">
        <v>80</v>
      </c>
      <c r="N526" s="282">
        <v>100</v>
      </c>
      <c r="O526" s="282">
        <v>120</v>
      </c>
      <c r="P526" s="282">
        <v>100</v>
      </c>
      <c r="Q526" s="117">
        <f t="shared" si="884"/>
        <v>400</v>
      </c>
      <c r="R526" s="117">
        <f t="shared" si="885"/>
        <v>0</v>
      </c>
      <c r="S526" s="282">
        <v>450</v>
      </c>
      <c r="T526" s="282">
        <v>450</v>
      </c>
      <c r="U526" s="282">
        <v>460</v>
      </c>
    </row>
    <row r="527" spans="1:21" ht="16.5" customHeight="1">
      <c r="A527" s="34"/>
      <c r="B527" s="33" t="s">
        <v>268</v>
      </c>
      <c r="C527" s="12" t="s">
        <v>269</v>
      </c>
      <c r="D527" s="68">
        <v>64</v>
      </c>
      <c r="E527" s="197">
        <v>114</v>
      </c>
      <c r="F527" s="68">
        <v>133</v>
      </c>
      <c r="G527" s="68">
        <f>68+45</f>
        <v>113</v>
      </c>
      <c r="H527" s="68">
        <v>133</v>
      </c>
      <c r="I527" s="197">
        <v>171</v>
      </c>
      <c r="J527" s="197">
        <v>171</v>
      </c>
      <c r="K527" s="197">
        <v>152</v>
      </c>
      <c r="L527" s="282">
        <v>172</v>
      </c>
      <c r="M527" s="282"/>
      <c r="N527" s="282">
        <v>57</v>
      </c>
      <c r="O527" s="282">
        <v>57</v>
      </c>
      <c r="P527" s="282">
        <v>58</v>
      </c>
      <c r="Q527" s="117">
        <f t="shared" si="884"/>
        <v>172</v>
      </c>
      <c r="R527" s="117">
        <f t="shared" si="885"/>
        <v>0</v>
      </c>
      <c r="S527" s="282">
        <v>172</v>
      </c>
      <c r="T527" s="282">
        <v>172</v>
      </c>
      <c r="U527" s="282">
        <v>172</v>
      </c>
    </row>
    <row r="528" spans="1:21" ht="16.5" customHeight="1">
      <c r="A528" s="34"/>
      <c r="B528" s="33" t="s">
        <v>638</v>
      </c>
      <c r="C528" s="12" t="s">
        <v>639</v>
      </c>
      <c r="D528" s="68"/>
      <c r="E528" s="197"/>
      <c r="F528" s="68"/>
      <c r="G528" s="68"/>
      <c r="H528" s="68"/>
      <c r="I528" s="197"/>
      <c r="J528" s="197"/>
      <c r="K528" s="197"/>
      <c r="L528" s="282">
        <v>18</v>
      </c>
      <c r="M528" s="282"/>
      <c r="N528" s="282"/>
      <c r="O528" s="282"/>
      <c r="P528" s="282">
        <v>18</v>
      </c>
      <c r="Q528" s="117">
        <f t="shared" si="884"/>
        <v>18</v>
      </c>
      <c r="R528" s="117">
        <f t="shared" si="885"/>
        <v>0</v>
      </c>
      <c r="S528" s="282">
        <v>18</v>
      </c>
      <c r="T528" s="282">
        <v>18</v>
      </c>
      <c r="U528" s="282">
        <v>18</v>
      </c>
    </row>
    <row r="529" spans="1:21" ht="16.5" hidden="1" customHeight="1">
      <c r="A529" s="34"/>
      <c r="B529" s="33" t="s">
        <v>164</v>
      </c>
      <c r="C529" s="12">
        <v>85.01</v>
      </c>
      <c r="D529" s="68"/>
      <c r="E529" s="197"/>
      <c r="F529" s="68"/>
      <c r="G529" s="68"/>
      <c r="H529" s="68"/>
      <c r="I529" s="197"/>
      <c r="J529" s="197"/>
      <c r="K529" s="197"/>
      <c r="L529" s="282"/>
      <c r="M529" s="282"/>
      <c r="N529" s="282"/>
      <c r="O529" s="282"/>
      <c r="P529" s="282"/>
      <c r="Q529" s="117">
        <f t="shared" si="884"/>
        <v>0</v>
      </c>
      <c r="R529" s="117">
        <f t="shared" si="885"/>
        <v>0</v>
      </c>
      <c r="S529" s="282"/>
      <c r="T529" s="282"/>
      <c r="U529" s="282"/>
    </row>
    <row r="530" spans="1:21" ht="16.5" hidden="1" customHeight="1">
      <c r="A530" s="34"/>
      <c r="B530" s="26" t="s">
        <v>165</v>
      </c>
      <c r="C530" s="12"/>
      <c r="D530" s="73">
        <f t="shared" ref="D530:U530" si="886">D531</f>
        <v>0</v>
      </c>
      <c r="E530" s="73">
        <f t="shared" si="886"/>
        <v>279.39999999999998</v>
      </c>
      <c r="F530" s="73">
        <f t="shared" si="886"/>
        <v>288</v>
      </c>
      <c r="G530" s="73">
        <f t="shared" si="886"/>
        <v>126</v>
      </c>
      <c r="H530" s="73">
        <f t="shared" si="886"/>
        <v>288</v>
      </c>
      <c r="I530" s="73">
        <f t="shared" si="886"/>
        <v>0</v>
      </c>
      <c r="J530" s="73">
        <f t="shared" si="886"/>
        <v>0</v>
      </c>
      <c r="K530" s="73">
        <f t="shared" si="886"/>
        <v>0</v>
      </c>
      <c r="L530" s="292">
        <f t="shared" si="886"/>
        <v>0</v>
      </c>
      <c r="M530" s="292">
        <f t="shared" si="886"/>
        <v>0</v>
      </c>
      <c r="N530" s="292">
        <f t="shared" si="886"/>
        <v>0</v>
      </c>
      <c r="O530" s="292">
        <f t="shared" si="886"/>
        <v>0</v>
      </c>
      <c r="P530" s="292">
        <f t="shared" si="886"/>
        <v>0</v>
      </c>
      <c r="Q530" s="117">
        <f t="shared" si="884"/>
        <v>0</v>
      </c>
      <c r="R530" s="117">
        <f t="shared" si="885"/>
        <v>0</v>
      </c>
      <c r="S530" s="292">
        <f t="shared" si="886"/>
        <v>0</v>
      </c>
      <c r="T530" s="292">
        <f t="shared" si="886"/>
        <v>0</v>
      </c>
      <c r="U530" s="292">
        <f t="shared" si="886"/>
        <v>0</v>
      </c>
    </row>
    <row r="531" spans="1:21" ht="16.5" hidden="1" customHeight="1">
      <c r="A531" s="34"/>
      <c r="B531" s="16" t="s">
        <v>270</v>
      </c>
      <c r="C531" s="96">
        <v>70</v>
      </c>
      <c r="D531" s="68"/>
      <c r="E531" s="197">
        <v>279.39999999999998</v>
      </c>
      <c r="F531" s="68">
        <v>288</v>
      </c>
      <c r="G531" s="68">
        <v>126</v>
      </c>
      <c r="H531" s="68">
        <v>288</v>
      </c>
      <c r="I531" s="197"/>
      <c r="J531" s="197"/>
      <c r="K531" s="197"/>
      <c r="L531" s="282">
        <v>0</v>
      </c>
      <c r="M531" s="282">
        <v>0</v>
      </c>
      <c r="N531" s="282">
        <v>0</v>
      </c>
      <c r="O531" s="282">
        <v>0</v>
      </c>
      <c r="P531" s="282">
        <v>0</v>
      </c>
      <c r="Q531" s="117">
        <f t="shared" si="884"/>
        <v>0</v>
      </c>
      <c r="R531" s="117">
        <f t="shared" si="885"/>
        <v>0</v>
      </c>
      <c r="S531" s="282"/>
      <c r="T531" s="282"/>
      <c r="U531" s="282"/>
    </row>
    <row r="532" spans="1:21" ht="28.5">
      <c r="A532" s="34" t="s">
        <v>271</v>
      </c>
      <c r="B532" s="50" t="s">
        <v>272</v>
      </c>
      <c r="C532" s="84" t="s">
        <v>273</v>
      </c>
      <c r="D532" s="73">
        <f t="shared" ref="D532:U532" si="887">D533+D541</f>
        <v>261</v>
      </c>
      <c r="E532" s="73">
        <f t="shared" ref="E532:F532" si="888">E533+E541</f>
        <v>268</v>
      </c>
      <c r="F532" s="73">
        <f t="shared" si="888"/>
        <v>1070</v>
      </c>
      <c r="G532" s="73">
        <f t="shared" si="887"/>
        <v>295</v>
      </c>
      <c r="H532" s="73">
        <f t="shared" si="887"/>
        <v>1070</v>
      </c>
      <c r="I532" s="73">
        <f t="shared" si="887"/>
        <v>307</v>
      </c>
      <c r="J532" s="73">
        <f t="shared" si="887"/>
        <v>307</v>
      </c>
      <c r="K532" s="73">
        <f t="shared" ref="K532:L532" si="889">K533+K541</f>
        <v>320</v>
      </c>
      <c r="L532" s="292">
        <f t="shared" si="889"/>
        <v>303</v>
      </c>
      <c r="M532" s="292">
        <f t="shared" ref="M532:P532" si="890">M533+M541</f>
        <v>40</v>
      </c>
      <c r="N532" s="292">
        <f t="shared" si="890"/>
        <v>104</v>
      </c>
      <c r="O532" s="292">
        <f t="shared" si="890"/>
        <v>79</v>
      </c>
      <c r="P532" s="292">
        <f t="shared" si="890"/>
        <v>80</v>
      </c>
      <c r="Q532" s="117">
        <f t="shared" si="884"/>
        <v>303</v>
      </c>
      <c r="R532" s="117">
        <f t="shared" si="885"/>
        <v>0</v>
      </c>
      <c r="S532" s="292">
        <f t="shared" si="887"/>
        <v>333</v>
      </c>
      <c r="T532" s="292">
        <f t="shared" si="887"/>
        <v>353</v>
      </c>
      <c r="U532" s="292">
        <f t="shared" si="887"/>
        <v>373</v>
      </c>
    </row>
    <row r="533" spans="1:21" ht="14.25">
      <c r="A533" s="34"/>
      <c r="B533" s="24" t="s">
        <v>153</v>
      </c>
      <c r="C533" s="12"/>
      <c r="D533" s="73">
        <f t="shared" ref="D533:U533" si="891">D534</f>
        <v>261</v>
      </c>
      <c r="E533" s="73">
        <f t="shared" si="891"/>
        <v>261</v>
      </c>
      <c r="F533" s="73">
        <f t="shared" si="891"/>
        <v>1063</v>
      </c>
      <c r="G533" s="73">
        <f t="shared" si="891"/>
        <v>288</v>
      </c>
      <c r="H533" s="73">
        <f t="shared" si="891"/>
        <v>1063</v>
      </c>
      <c r="I533" s="73">
        <f t="shared" si="891"/>
        <v>307</v>
      </c>
      <c r="J533" s="73">
        <f t="shared" si="891"/>
        <v>307</v>
      </c>
      <c r="K533" s="73">
        <f t="shared" si="891"/>
        <v>320</v>
      </c>
      <c r="L533" s="292">
        <f t="shared" si="891"/>
        <v>303</v>
      </c>
      <c r="M533" s="292">
        <f t="shared" si="891"/>
        <v>40</v>
      </c>
      <c r="N533" s="292">
        <f t="shared" si="891"/>
        <v>104</v>
      </c>
      <c r="O533" s="292">
        <f t="shared" si="891"/>
        <v>79</v>
      </c>
      <c r="P533" s="292">
        <f t="shared" si="891"/>
        <v>80</v>
      </c>
      <c r="Q533" s="117">
        <f t="shared" si="884"/>
        <v>303</v>
      </c>
      <c r="R533" s="117">
        <f t="shared" si="885"/>
        <v>0</v>
      </c>
      <c r="S533" s="292">
        <f t="shared" si="891"/>
        <v>333</v>
      </c>
      <c r="T533" s="292">
        <f t="shared" si="891"/>
        <v>353</v>
      </c>
      <c r="U533" s="292">
        <f t="shared" si="891"/>
        <v>373</v>
      </c>
    </row>
    <row r="534" spans="1:21" ht="21.75" customHeight="1">
      <c r="A534" s="34"/>
      <c r="B534" s="33" t="s">
        <v>154</v>
      </c>
      <c r="C534" s="12">
        <v>1</v>
      </c>
      <c r="D534" s="69">
        <f>D535+D537+D538+D539+D540</f>
        <v>261</v>
      </c>
      <c r="E534" s="69">
        <f t="shared" ref="E534:U534" si="892">E535+E537+E538+E539+E540</f>
        <v>261</v>
      </c>
      <c r="F534" s="69">
        <f t="shared" si="892"/>
        <v>1063</v>
      </c>
      <c r="G534" s="69">
        <f t="shared" si="892"/>
        <v>288</v>
      </c>
      <c r="H534" s="69">
        <f t="shared" si="892"/>
        <v>1063</v>
      </c>
      <c r="I534" s="69">
        <f t="shared" si="892"/>
        <v>307</v>
      </c>
      <c r="J534" s="69">
        <f t="shared" si="892"/>
        <v>307</v>
      </c>
      <c r="K534" s="69">
        <f t="shared" si="892"/>
        <v>320</v>
      </c>
      <c r="L534" s="283">
        <f t="shared" si="892"/>
        <v>303</v>
      </c>
      <c r="M534" s="283">
        <f t="shared" ref="M534:P534" si="893">M535+M537+M538+M539+M540</f>
        <v>40</v>
      </c>
      <c r="N534" s="283">
        <f t="shared" si="893"/>
        <v>104</v>
      </c>
      <c r="O534" s="283">
        <f t="shared" si="893"/>
        <v>79</v>
      </c>
      <c r="P534" s="283">
        <f t="shared" si="893"/>
        <v>80</v>
      </c>
      <c r="Q534" s="117">
        <f t="shared" si="884"/>
        <v>303</v>
      </c>
      <c r="R534" s="117">
        <f t="shared" si="885"/>
        <v>0</v>
      </c>
      <c r="S534" s="283">
        <f t="shared" si="892"/>
        <v>333</v>
      </c>
      <c r="T534" s="283">
        <f t="shared" si="892"/>
        <v>353</v>
      </c>
      <c r="U534" s="283">
        <f t="shared" si="892"/>
        <v>373</v>
      </c>
    </row>
    <row r="535" spans="1:21" ht="18.75" customHeight="1">
      <c r="A535" s="34"/>
      <c r="B535" s="33" t="s">
        <v>578</v>
      </c>
      <c r="C535" s="12">
        <v>10</v>
      </c>
      <c r="D535" s="68">
        <v>31</v>
      </c>
      <c r="E535" s="197">
        <v>19</v>
      </c>
      <c r="F535" s="68">
        <v>32</v>
      </c>
      <c r="G535" s="68">
        <v>32</v>
      </c>
      <c r="H535" s="68">
        <v>32</v>
      </c>
      <c r="I535" s="197">
        <v>30</v>
      </c>
      <c r="J535" s="197">
        <v>30</v>
      </c>
      <c r="K535" s="197">
        <v>30</v>
      </c>
      <c r="L535" s="282">
        <v>15</v>
      </c>
      <c r="M535" s="282"/>
      <c r="N535" s="282">
        <v>15</v>
      </c>
      <c r="O535" s="282"/>
      <c r="P535" s="282"/>
      <c r="Q535" s="117">
        <f t="shared" si="884"/>
        <v>15</v>
      </c>
      <c r="R535" s="117">
        <f t="shared" si="885"/>
        <v>0</v>
      </c>
      <c r="S535" s="282">
        <v>15</v>
      </c>
      <c r="T535" s="282">
        <v>15</v>
      </c>
      <c r="U535" s="282">
        <v>15</v>
      </c>
    </row>
    <row r="536" spans="1:21" ht="0.75" customHeight="1">
      <c r="A536" s="34"/>
      <c r="B536" s="33" t="s">
        <v>469</v>
      </c>
      <c r="C536" s="12"/>
      <c r="D536" s="68"/>
      <c r="E536" s="197"/>
      <c r="F536" s="68"/>
      <c r="G536" s="68"/>
      <c r="H536" s="68"/>
      <c r="I536" s="197"/>
      <c r="J536" s="197">
        <v>0</v>
      </c>
      <c r="K536" s="197"/>
      <c r="L536" s="282">
        <v>0</v>
      </c>
      <c r="M536" s="282">
        <v>0</v>
      </c>
      <c r="N536" s="282">
        <v>0</v>
      </c>
      <c r="O536" s="282">
        <v>0</v>
      </c>
      <c r="P536" s="282">
        <v>0</v>
      </c>
      <c r="Q536" s="117">
        <f t="shared" si="884"/>
        <v>0</v>
      </c>
      <c r="R536" s="117">
        <f t="shared" si="885"/>
        <v>0</v>
      </c>
      <c r="S536" s="282"/>
      <c r="T536" s="282"/>
      <c r="U536" s="282"/>
    </row>
    <row r="537" spans="1:21" ht="16.5" customHeight="1">
      <c r="A537" s="34"/>
      <c r="B537" s="33" t="s">
        <v>588</v>
      </c>
      <c r="C537" s="12">
        <v>20</v>
      </c>
      <c r="D537" s="68">
        <v>219</v>
      </c>
      <c r="E537" s="197">
        <v>177</v>
      </c>
      <c r="F537" s="68">
        <v>187</v>
      </c>
      <c r="G537" s="68">
        <f>240-53</f>
        <v>187</v>
      </c>
      <c r="H537" s="68">
        <v>187</v>
      </c>
      <c r="I537" s="197">
        <v>187</v>
      </c>
      <c r="J537" s="197">
        <v>187</v>
      </c>
      <c r="K537" s="197">
        <v>187</v>
      </c>
      <c r="L537" s="282">
        <v>170</v>
      </c>
      <c r="M537" s="282">
        <f>40</f>
        <v>40</v>
      </c>
      <c r="N537" s="282">
        <v>50</v>
      </c>
      <c r="O537" s="282">
        <v>40</v>
      </c>
      <c r="P537" s="282">
        <v>40</v>
      </c>
      <c r="Q537" s="117">
        <f t="shared" si="884"/>
        <v>170</v>
      </c>
      <c r="R537" s="117">
        <f t="shared" si="885"/>
        <v>0</v>
      </c>
      <c r="S537" s="282">
        <v>200</v>
      </c>
      <c r="T537" s="282">
        <v>220</v>
      </c>
      <c r="U537" s="282">
        <v>240</v>
      </c>
    </row>
    <row r="538" spans="1:21" ht="15.75" customHeight="1">
      <c r="A538" s="34"/>
      <c r="B538" s="33" t="s">
        <v>258</v>
      </c>
      <c r="C538" s="12" t="s">
        <v>514</v>
      </c>
      <c r="D538" s="68">
        <v>11</v>
      </c>
      <c r="E538" s="197">
        <v>65</v>
      </c>
      <c r="F538" s="68">
        <v>844</v>
      </c>
      <c r="G538" s="68">
        <f>16+53</f>
        <v>69</v>
      </c>
      <c r="H538" s="68">
        <v>844</v>
      </c>
      <c r="I538" s="197">
        <v>90</v>
      </c>
      <c r="J538" s="197">
        <v>90</v>
      </c>
      <c r="K538" s="197">
        <v>103</v>
      </c>
      <c r="L538" s="282">
        <v>118</v>
      </c>
      <c r="M538" s="282"/>
      <c r="N538" s="282">
        <v>39</v>
      </c>
      <c r="O538" s="282">
        <v>39</v>
      </c>
      <c r="P538" s="282">
        <v>40</v>
      </c>
      <c r="Q538" s="117">
        <f t="shared" si="884"/>
        <v>118</v>
      </c>
      <c r="R538" s="117">
        <f t="shared" si="885"/>
        <v>0</v>
      </c>
      <c r="S538" s="282">
        <v>118</v>
      </c>
      <c r="T538" s="282">
        <v>118</v>
      </c>
      <c r="U538" s="282">
        <v>118</v>
      </c>
    </row>
    <row r="539" spans="1:21" ht="18" customHeight="1">
      <c r="A539" s="34"/>
      <c r="B539" s="33" t="s">
        <v>638</v>
      </c>
      <c r="C539" s="12" t="s">
        <v>639</v>
      </c>
      <c r="D539" s="68"/>
      <c r="E539" s="197"/>
      <c r="F539" s="68"/>
      <c r="G539" s="68"/>
      <c r="H539" s="68"/>
      <c r="I539" s="197"/>
      <c r="J539" s="197"/>
      <c r="K539" s="197"/>
      <c r="L539" s="282">
        <v>0</v>
      </c>
      <c r="M539" s="282"/>
      <c r="N539" s="282"/>
      <c r="O539" s="282"/>
      <c r="P539" s="282">
        <v>0</v>
      </c>
      <c r="Q539" s="117">
        <f t="shared" si="884"/>
        <v>0</v>
      </c>
      <c r="R539" s="117">
        <f t="shared" si="885"/>
        <v>0</v>
      </c>
      <c r="S539" s="282">
        <v>0</v>
      </c>
      <c r="T539" s="282">
        <v>0</v>
      </c>
      <c r="U539" s="282">
        <v>0</v>
      </c>
    </row>
    <row r="540" spans="1:21" ht="24" hidden="1" customHeight="1">
      <c r="A540" s="34"/>
      <c r="B540" s="33" t="s">
        <v>511</v>
      </c>
      <c r="C540" s="12">
        <v>85.01</v>
      </c>
      <c r="D540" s="68"/>
      <c r="E540" s="197"/>
      <c r="F540" s="68"/>
      <c r="G540" s="68"/>
      <c r="H540" s="68"/>
      <c r="I540" s="197"/>
      <c r="J540" s="197"/>
      <c r="K540" s="197"/>
      <c r="L540" s="282"/>
      <c r="M540" s="282"/>
      <c r="N540" s="282"/>
      <c r="O540" s="282"/>
      <c r="P540" s="282"/>
      <c r="Q540" s="117">
        <f t="shared" si="884"/>
        <v>0</v>
      </c>
      <c r="R540" s="117">
        <f t="shared" si="885"/>
        <v>0</v>
      </c>
      <c r="S540" s="282"/>
      <c r="T540" s="282"/>
      <c r="U540" s="282"/>
    </row>
    <row r="541" spans="1:21" ht="12" hidden="1" customHeight="1">
      <c r="A541" s="34"/>
      <c r="B541" s="26" t="s">
        <v>165</v>
      </c>
      <c r="C541" s="12"/>
      <c r="D541" s="69">
        <f t="shared" ref="D541:U541" si="894">D542</f>
        <v>0</v>
      </c>
      <c r="E541" s="69">
        <f t="shared" si="894"/>
        <v>7</v>
      </c>
      <c r="F541" s="69">
        <f t="shared" si="894"/>
        <v>7</v>
      </c>
      <c r="G541" s="69">
        <f t="shared" si="894"/>
        <v>7</v>
      </c>
      <c r="H541" s="69">
        <f t="shared" si="894"/>
        <v>7</v>
      </c>
      <c r="I541" s="69">
        <f t="shared" si="894"/>
        <v>0</v>
      </c>
      <c r="J541" s="69">
        <f t="shared" si="894"/>
        <v>0</v>
      </c>
      <c r="K541" s="69">
        <f t="shared" si="894"/>
        <v>0</v>
      </c>
      <c r="L541" s="283">
        <f t="shared" si="894"/>
        <v>0</v>
      </c>
      <c r="M541" s="283">
        <f t="shared" si="894"/>
        <v>0</v>
      </c>
      <c r="N541" s="283">
        <f t="shared" si="894"/>
        <v>0</v>
      </c>
      <c r="O541" s="283">
        <f t="shared" si="894"/>
        <v>0</v>
      </c>
      <c r="P541" s="283">
        <f t="shared" si="894"/>
        <v>0</v>
      </c>
      <c r="Q541" s="117">
        <f t="shared" si="884"/>
        <v>0</v>
      </c>
      <c r="R541" s="117">
        <f t="shared" si="885"/>
        <v>0</v>
      </c>
      <c r="S541" s="283">
        <f t="shared" si="894"/>
        <v>0</v>
      </c>
      <c r="T541" s="283">
        <f t="shared" si="894"/>
        <v>0</v>
      </c>
      <c r="U541" s="283">
        <f t="shared" si="894"/>
        <v>0</v>
      </c>
    </row>
    <row r="542" spans="1:21" ht="15.75" hidden="1" customHeight="1">
      <c r="A542" s="34"/>
      <c r="B542" s="33" t="s">
        <v>194</v>
      </c>
      <c r="C542" s="12">
        <v>70</v>
      </c>
      <c r="D542" s="68">
        <v>0</v>
      </c>
      <c r="E542" s="197">
        <v>7</v>
      </c>
      <c r="F542" s="68">
        <v>7</v>
      </c>
      <c r="G542" s="68">
        <v>7</v>
      </c>
      <c r="H542" s="68">
        <v>7</v>
      </c>
      <c r="I542" s="197">
        <v>0</v>
      </c>
      <c r="J542" s="197"/>
      <c r="K542" s="197">
        <v>0</v>
      </c>
      <c r="L542" s="282">
        <v>0</v>
      </c>
      <c r="M542" s="282">
        <v>0</v>
      </c>
      <c r="N542" s="282">
        <v>0</v>
      </c>
      <c r="O542" s="282">
        <v>0</v>
      </c>
      <c r="P542" s="282">
        <v>0</v>
      </c>
      <c r="Q542" s="117">
        <f t="shared" si="884"/>
        <v>0</v>
      </c>
      <c r="R542" s="117">
        <f t="shared" si="885"/>
        <v>0</v>
      </c>
      <c r="S542" s="282">
        <v>0</v>
      </c>
      <c r="T542" s="282">
        <v>0</v>
      </c>
      <c r="U542" s="282">
        <v>0</v>
      </c>
    </row>
    <row r="543" spans="1:21" ht="27.75" customHeight="1">
      <c r="A543" s="34" t="s">
        <v>274</v>
      </c>
      <c r="B543" s="50" t="s">
        <v>625</v>
      </c>
      <c r="C543" s="84" t="s">
        <v>273</v>
      </c>
      <c r="D543" s="73">
        <f t="shared" ref="D543:U543" si="895">D544+D552</f>
        <v>434</v>
      </c>
      <c r="E543" s="73">
        <f t="shared" ref="E543:F543" si="896">E544+E552</f>
        <v>373.83999999999992</v>
      </c>
      <c r="F543" s="73">
        <f t="shared" si="896"/>
        <v>477</v>
      </c>
      <c r="G543" s="73">
        <f t="shared" si="895"/>
        <v>477</v>
      </c>
      <c r="H543" s="73">
        <f t="shared" si="895"/>
        <v>477</v>
      </c>
      <c r="I543" s="73">
        <f t="shared" si="895"/>
        <v>491</v>
      </c>
      <c r="J543" s="73">
        <f t="shared" si="895"/>
        <v>479</v>
      </c>
      <c r="K543" s="73">
        <f t="shared" ref="K543:L543" si="897">K544+K552</f>
        <v>499</v>
      </c>
      <c r="L543" s="292">
        <f t="shared" si="897"/>
        <v>475</v>
      </c>
      <c r="M543" s="292">
        <f t="shared" ref="M543:P543" si="898">M544+M552</f>
        <v>50</v>
      </c>
      <c r="N543" s="292">
        <f t="shared" si="898"/>
        <v>139</v>
      </c>
      <c r="O543" s="292">
        <f t="shared" si="898"/>
        <v>139</v>
      </c>
      <c r="P543" s="292">
        <f t="shared" si="898"/>
        <v>147</v>
      </c>
      <c r="Q543" s="117">
        <f t="shared" si="884"/>
        <v>475</v>
      </c>
      <c r="R543" s="117">
        <f t="shared" si="885"/>
        <v>0</v>
      </c>
      <c r="S543" s="292">
        <f t="shared" si="895"/>
        <v>515</v>
      </c>
      <c r="T543" s="292">
        <f t="shared" si="895"/>
        <v>525</v>
      </c>
      <c r="U543" s="292">
        <f t="shared" si="895"/>
        <v>535</v>
      </c>
    </row>
    <row r="544" spans="1:21" ht="15" customHeight="1">
      <c r="A544" s="34"/>
      <c r="B544" s="24" t="s">
        <v>153</v>
      </c>
      <c r="C544" s="12"/>
      <c r="D544" s="69">
        <f t="shared" ref="D544" si="899">D545</f>
        <v>434</v>
      </c>
      <c r="E544" s="69">
        <f t="shared" ref="E544:F544" si="900">E545+E551</f>
        <v>373.83999999999992</v>
      </c>
      <c r="F544" s="69">
        <f t="shared" si="900"/>
        <v>477</v>
      </c>
      <c r="G544" s="69">
        <f>G545+G551</f>
        <v>477</v>
      </c>
      <c r="H544" s="69">
        <f t="shared" ref="H544:U544" si="901">H545+H551</f>
        <v>477</v>
      </c>
      <c r="I544" s="69">
        <f t="shared" si="901"/>
        <v>479</v>
      </c>
      <c r="J544" s="69">
        <f t="shared" si="901"/>
        <v>479</v>
      </c>
      <c r="K544" s="69">
        <f t="shared" ref="K544:L544" si="902">K545+K551</f>
        <v>479</v>
      </c>
      <c r="L544" s="283">
        <f t="shared" si="902"/>
        <v>475</v>
      </c>
      <c r="M544" s="283">
        <f t="shared" ref="M544:P544" si="903">M545+M551</f>
        <v>50</v>
      </c>
      <c r="N544" s="283">
        <f t="shared" si="903"/>
        <v>139</v>
      </c>
      <c r="O544" s="283">
        <f t="shared" si="903"/>
        <v>139</v>
      </c>
      <c r="P544" s="283">
        <f t="shared" si="903"/>
        <v>147</v>
      </c>
      <c r="Q544" s="117">
        <f t="shared" si="884"/>
        <v>475</v>
      </c>
      <c r="R544" s="117">
        <f t="shared" si="885"/>
        <v>0</v>
      </c>
      <c r="S544" s="283">
        <f t="shared" si="901"/>
        <v>515</v>
      </c>
      <c r="T544" s="283">
        <f t="shared" si="901"/>
        <v>525</v>
      </c>
      <c r="U544" s="283">
        <f t="shared" si="901"/>
        <v>535</v>
      </c>
    </row>
    <row r="545" spans="1:21" ht="15" customHeight="1">
      <c r="A545" s="34"/>
      <c r="B545" s="33" t="s">
        <v>154</v>
      </c>
      <c r="C545" s="12">
        <v>1</v>
      </c>
      <c r="D545" s="69">
        <f>D546+D548+D549+D550+D551</f>
        <v>434</v>
      </c>
      <c r="E545" s="69">
        <f t="shared" ref="E545:U545" si="904">E546+E548+E549+E550+E551</f>
        <v>375.43999999999994</v>
      </c>
      <c r="F545" s="69">
        <f t="shared" si="904"/>
        <v>477</v>
      </c>
      <c r="G545" s="69">
        <f t="shared" si="904"/>
        <v>477</v>
      </c>
      <c r="H545" s="69">
        <f t="shared" si="904"/>
        <v>477</v>
      </c>
      <c r="I545" s="69">
        <f t="shared" si="904"/>
        <v>479</v>
      </c>
      <c r="J545" s="69">
        <f t="shared" si="904"/>
        <v>479</v>
      </c>
      <c r="K545" s="69">
        <f t="shared" si="904"/>
        <v>479</v>
      </c>
      <c r="L545" s="283">
        <f t="shared" si="904"/>
        <v>475</v>
      </c>
      <c r="M545" s="283">
        <f t="shared" ref="M545:P545" si="905">M546+M548+M549+M550+M551</f>
        <v>50</v>
      </c>
      <c r="N545" s="283">
        <f t="shared" si="905"/>
        <v>139</v>
      </c>
      <c r="O545" s="283">
        <f t="shared" si="905"/>
        <v>139</v>
      </c>
      <c r="P545" s="283">
        <f t="shared" si="905"/>
        <v>147</v>
      </c>
      <c r="Q545" s="117">
        <f t="shared" si="884"/>
        <v>475</v>
      </c>
      <c r="R545" s="117">
        <f t="shared" si="885"/>
        <v>0</v>
      </c>
      <c r="S545" s="283">
        <f t="shared" si="904"/>
        <v>515</v>
      </c>
      <c r="T545" s="283">
        <f t="shared" si="904"/>
        <v>525</v>
      </c>
      <c r="U545" s="283">
        <f t="shared" si="904"/>
        <v>535</v>
      </c>
    </row>
    <row r="546" spans="1:21" ht="17.25" customHeight="1">
      <c r="A546" s="34"/>
      <c r="B546" s="33" t="s">
        <v>578</v>
      </c>
      <c r="C546" s="12">
        <v>10</v>
      </c>
      <c r="D546" s="68">
        <v>45</v>
      </c>
      <c r="E546" s="197">
        <v>31.04</v>
      </c>
      <c r="F546" s="68">
        <v>60</v>
      </c>
      <c r="G546" s="68">
        <v>60</v>
      </c>
      <c r="H546" s="68">
        <v>60</v>
      </c>
      <c r="I546" s="197">
        <v>60</v>
      </c>
      <c r="J546" s="197">
        <v>60</v>
      </c>
      <c r="K546" s="197">
        <v>60</v>
      </c>
      <c r="L546" s="282">
        <v>30</v>
      </c>
      <c r="M546" s="282"/>
      <c r="N546" s="282">
        <v>15</v>
      </c>
      <c r="O546" s="282">
        <v>15</v>
      </c>
      <c r="P546" s="282"/>
      <c r="Q546" s="117">
        <f t="shared" si="884"/>
        <v>30</v>
      </c>
      <c r="R546" s="117">
        <f t="shared" si="885"/>
        <v>0</v>
      </c>
      <c r="S546" s="282">
        <v>30</v>
      </c>
      <c r="T546" s="282">
        <v>30</v>
      </c>
      <c r="U546" s="282">
        <v>30</v>
      </c>
    </row>
    <row r="547" spans="1:21" ht="0.75" customHeight="1">
      <c r="A547" s="34"/>
      <c r="B547" s="33" t="s">
        <v>469</v>
      </c>
      <c r="C547" s="12"/>
      <c r="D547" s="68"/>
      <c r="E547" s="197"/>
      <c r="F547" s="68"/>
      <c r="G547" s="68"/>
      <c r="H547" s="68"/>
      <c r="I547" s="197"/>
      <c r="J547" s="197"/>
      <c r="K547" s="197"/>
      <c r="L547" s="282"/>
      <c r="M547" s="282"/>
      <c r="N547" s="282"/>
      <c r="O547" s="282"/>
      <c r="P547" s="282"/>
      <c r="Q547" s="117">
        <f t="shared" si="884"/>
        <v>0</v>
      </c>
      <c r="R547" s="117">
        <f t="shared" si="885"/>
        <v>0</v>
      </c>
      <c r="S547" s="282"/>
      <c r="T547" s="282"/>
      <c r="U547" s="282"/>
    </row>
    <row r="548" spans="1:21" ht="15" customHeight="1">
      <c r="A548" s="34"/>
      <c r="B548" s="33" t="s">
        <v>588</v>
      </c>
      <c r="C548" s="12">
        <v>20</v>
      </c>
      <c r="D548" s="68">
        <v>315</v>
      </c>
      <c r="E548" s="197">
        <v>183</v>
      </c>
      <c r="F548" s="68">
        <v>239</v>
      </c>
      <c r="G548" s="68">
        <f>340-101</f>
        <v>239</v>
      </c>
      <c r="H548" s="68">
        <v>239</v>
      </c>
      <c r="I548" s="197">
        <v>221</v>
      </c>
      <c r="J548" s="197">
        <v>221</v>
      </c>
      <c r="K548" s="197">
        <v>221</v>
      </c>
      <c r="L548" s="282">
        <v>200</v>
      </c>
      <c r="M548" s="282">
        <v>50</v>
      </c>
      <c r="N548" s="282">
        <v>50</v>
      </c>
      <c r="O548" s="282">
        <v>50</v>
      </c>
      <c r="P548" s="282">
        <v>50</v>
      </c>
      <c r="Q548" s="117">
        <f t="shared" si="884"/>
        <v>200</v>
      </c>
      <c r="R548" s="117">
        <f t="shared" si="885"/>
        <v>0</v>
      </c>
      <c r="S548" s="282">
        <v>240</v>
      </c>
      <c r="T548" s="282">
        <v>250</v>
      </c>
      <c r="U548" s="282">
        <v>260</v>
      </c>
    </row>
    <row r="549" spans="1:21" ht="14.25" customHeight="1">
      <c r="A549" s="34"/>
      <c r="B549" s="33" t="s">
        <v>258</v>
      </c>
      <c r="C549" s="12" t="s">
        <v>514</v>
      </c>
      <c r="D549" s="68">
        <v>74</v>
      </c>
      <c r="E549" s="197">
        <v>163</v>
      </c>
      <c r="F549" s="68">
        <v>178</v>
      </c>
      <c r="G549" s="68">
        <f>77+101</f>
        <v>178</v>
      </c>
      <c r="H549" s="68">
        <v>178</v>
      </c>
      <c r="I549" s="197">
        <v>198</v>
      </c>
      <c r="J549" s="197">
        <v>198</v>
      </c>
      <c r="K549" s="197">
        <v>198</v>
      </c>
      <c r="L549" s="282">
        <v>221</v>
      </c>
      <c r="M549" s="282"/>
      <c r="N549" s="282">
        <v>74</v>
      </c>
      <c r="O549" s="282">
        <v>74</v>
      </c>
      <c r="P549" s="282">
        <v>73</v>
      </c>
      <c r="Q549" s="117">
        <f t="shared" si="884"/>
        <v>221</v>
      </c>
      <c r="R549" s="117">
        <f t="shared" si="885"/>
        <v>0</v>
      </c>
      <c r="S549" s="282">
        <v>221</v>
      </c>
      <c r="T549" s="282">
        <v>221</v>
      </c>
      <c r="U549" s="282">
        <v>221</v>
      </c>
    </row>
    <row r="550" spans="1:21" ht="14.25" customHeight="1">
      <c r="A550" s="34"/>
      <c r="B550" s="33" t="s">
        <v>638</v>
      </c>
      <c r="C550" s="12" t="s">
        <v>639</v>
      </c>
      <c r="D550" s="68"/>
      <c r="E550" s="197"/>
      <c r="F550" s="68"/>
      <c r="G550" s="68"/>
      <c r="H550" s="68"/>
      <c r="I550" s="197"/>
      <c r="J550" s="197"/>
      <c r="K550" s="197"/>
      <c r="L550" s="282">
        <v>24</v>
      </c>
      <c r="M550" s="282"/>
      <c r="N550" s="282"/>
      <c r="O550" s="282"/>
      <c r="P550" s="282">
        <v>24</v>
      </c>
      <c r="Q550" s="117">
        <f t="shared" si="884"/>
        <v>24</v>
      </c>
      <c r="R550" s="117">
        <f t="shared" si="885"/>
        <v>0</v>
      </c>
      <c r="S550" s="282">
        <v>24</v>
      </c>
      <c r="T550" s="282">
        <v>24</v>
      </c>
      <c r="U550" s="282">
        <v>24</v>
      </c>
    </row>
    <row r="551" spans="1:21" ht="20.25" hidden="1" customHeight="1">
      <c r="A551" s="34"/>
      <c r="B551" s="33" t="s">
        <v>164</v>
      </c>
      <c r="C551" s="12">
        <v>85.01</v>
      </c>
      <c r="D551" s="68"/>
      <c r="E551" s="197">
        <v>-1.6</v>
      </c>
      <c r="F551" s="68"/>
      <c r="G551" s="68"/>
      <c r="H551" s="68"/>
      <c r="I551" s="197"/>
      <c r="J551" s="197"/>
      <c r="K551" s="197"/>
      <c r="L551" s="282"/>
      <c r="M551" s="282"/>
      <c r="N551" s="282"/>
      <c r="O551" s="282"/>
      <c r="P551" s="282"/>
      <c r="Q551" s="117">
        <f t="shared" si="884"/>
        <v>0</v>
      </c>
      <c r="R551" s="117">
        <f t="shared" si="885"/>
        <v>0</v>
      </c>
      <c r="S551" s="282"/>
      <c r="T551" s="282"/>
      <c r="U551" s="282"/>
    </row>
    <row r="552" spans="1:21" ht="16.5" hidden="1" customHeight="1">
      <c r="A552" s="34"/>
      <c r="B552" s="26" t="s">
        <v>165</v>
      </c>
      <c r="C552" s="12"/>
      <c r="D552" s="69">
        <f t="shared" ref="D552:U552" si="906">D553</f>
        <v>0</v>
      </c>
      <c r="E552" s="69">
        <f t="shared" si="906"/>
        <v>0</v>
      </c>
      <c r="F552" s="69">
        <f t="shared" si="906"/>
        <v>0</v>
      </c>
      <c r="G552" s="69">
        <f t="shared" si="906"/>
        <v>0</v>
      </c>
      <c r="H552" s="69">
        <f t="shared" si="906"/>
        <v>0</v>
      </c>
      <c r="I552" s="69">
        <f t="shared" si="906"/>
        <v>12</v>
      </c>
      <c r="J552" s="69">
        <f t="shared" si="906"/>
        <v>0</v>
      </c>
      <c r="K552" s="69">
        <f t="shared" si="906"/>
        <v>20</v>
      </c>
      <c r="L552" s="283">
        <f t="shared" si="906"/>
        <v>0</v>
      </c>
      <c r="M552" s="283">
        <f t="shared" si="906"/>
        <v>0</v>
      </c>
      <c r="N552" s="283">
        <f t="shared" si="906"/>
        <v>0</v>
      </c>
      <c r="O552" s="283">
        <f t="shared" si="906"/>
        <v>0</v>
      </c>
      <c r="P552" s="283">
        <f t="shared" si="906"/>
        <v>0</v>
      </c>
      <c r="Q552" s="117">
        <f t="shared" si="884"/>
        <v>0</v>
      </c>
      <c r="R552" s="117">
        <f t="shared" si="885"/>
        <v>0</v>
      </c>
      <c r="S552" s="283">
        <f t="shared" si="906"/>
        <v>0</v>
      </c>
      <c r="T552" s="283">
        <f t="shared" si="906"/>
        <v>0</v>
      </c>
      <c r="U552" s="283">
        <f t="shared" si="906"/>
        <v>0</v>
      </c>
    </row>
    <row r="553" spans="1:21" ht="18.75" hidden="1" customHeight="1">
      <c r="A553" s="34"/>
      <c r="B553" s="33" t="s">
        <v>194</v>
      </c>
      <c r="C553" s="12">
        <v>70</v>
      </c>
      <c r="D553" s="68"/>
      <c r="E553" s="197"/>
      <c r="F553" s="68"/>
      <c r="G553" s="68"/>
      <c r="H553" s="68"/>
      <c r="I553" s="197">
        <v>12</v>
      </c>
      <c r="J553" s="197"/>
      <c r="K553" s="197">
        <v>20</v>
      </c>
      <c r="L553" s="282">
        <v>0</v>
      </c>
      <c r="M553" s="282">
        <v>0</v>
      </c>
      <c r="N553" s="282">
        <v>0</v>
      </c>
      <c r="O553" s="282">
        <v>0</v>
      </c>
      <c r="P553" s="282">
        <v>0</v>
      </c>
      <c r="Q553" s="117">
        <f t="shared" si="884"/>
        <v>0</v>
      </c>
      <c r="R553" s="117">
        <f t="shared" si="885"/>
        <v>0</v>
      </c>
      <c r="S553" s="282">
        <v>0</v>
      </c>
      <c r="T553" s="282">
        <v>0</v>
      </c>
      <c r="U553" s="282">
        <v>0</v>
      </c>
    </row>
    <row r="554" spans="1:21" ht="28.5">
      <c r="A554" s="34" t="s">
        <v>275</v>
      </c>
      <c r="B554" s="50" t="s">
        <v>466</v>
      </c>
      <c r="C554" s="12" t="s">
        <v>276</v>
      </c>
      <c r="D554" s="73">
        <f t="shared" ref="D554:U555" si="907">D555</f>
        <v>9996</v>
      </c>
      <c r="E554" s="73">
        <f t="shared" si="907"/>
        <v>5230</v>
      </c>
      <c r="F554" s="73">
        <f t="shared" si="907"/>
        <v>5483</v>
      </c>
      <c r="G554" s="73">
        <f t="shared" si="907"/>
        <v>11957</v>
      </c>
      <c r="H554" s="73">
        <f t="shared" si="907"/>
        <v>5483</v>
      </c>
      <c r="I554" s="73">
        <f t="shared" si="907"/>
        <v>13500</v>
      </c>
      <c r="J554" s="73">
        <f t="shared" si="907"/>
        <v>13500</v>
      </c>
      <c r="K554" s="73">
        <f t="shared" si="907"/>
        <v>13500</v>
      </c>
      <c r="L554" s="292">
        <f t="shared" si="907"/>
        <v>11902</v>
      </c>
      <c r="M554" s="292">
        <f t="shared" si="907"/>
        <v>0</v>
      </c>
      <c r="N554" s="292">
        <f t="shared" si="907"/>
        <v>2000</v>
      </c>
      <c r="O554" s="292">
        <f t="shared" si="907"/>
        <v>2000</v>
      </c>
      <c r="P554" s="292">
        <f t="shared" si="907"/>
        <v>7902</v>
      </c>
      <c r="Q554" s="117">
        <f t="shared" si="884"/>
        <v>11902</v>
      </c>
      <c r="R554" s="117">
        <f t="shared" si="885"/>
        <v>0</v>
      </c>
      <c r="S554" s="292">
        <f t="shared" si="907"/>
        <v>11902</v>
      </c>
      <c r="T554" s="292">
        <f t="shared" si="907"/>
        <v>11902</v>
      </c>
      <c r="U554" s="292">
        <f t="shared" si="907"/>
        <v>11902</v>
      </c>
    </row>
    <row r="555" spans="1:21" ht="14.25">
      <c r="A555" s="34"/>
      <c r="B555" s="24" t="s">
        <v>153</v>
      </c>
      <c r="C555" s="12"/>
      <c r="D555" s="73">
        <f t="shared" si="907"/>
        <v>9996</v>
      </c>
      <c r="E555" s="73">
        <f t="shared" si="907"/>
        <v>5230</v>
      </c>
      <c r="F555" s="73">
        <f t="shared" si="907"/>
        <v>5483</v>
      </c>
      <c r="G555" s="73">
        <f t="shared" si="907"/>
        <v>11957</v>
      </c>
      <c r="H555" s="73">
        <f t="shared" si="907"/>
        <v>5483</v>
      </c>
      <c r="I555" s="73">
        <f t="shared" si="907"/>
        <v>13500</v>
      </c>
      <c r="J555" s="73">
        <f t="shared" si="907"/>
        <v>13500</v>
      </c>
      <c r="K555" s="73">
        <f t="shared" si="907"/>
        <v>13500</v>
      </c>
      <c r="L555" s="292">
        <f t="shared" si="907"/>
        <v>11902</v>
      </c>
      <c r="M555" s="292">
        <f t="shared" si="907"/>
        <v>0</v>
      </c>
      <c r="N555" s="292">
        <f t="shared" si="907"/>
        <v>2000</v>
      </c>
      <c r="O555" s="292">
        <f t="shared" si="907"/>
        <v>2000</v>
      </c>
      <c r="P555" s="292">
        <f t="shared" si="907"/>
        <v>7902</v>
      </c>
      <c r="Q555" s="117">
        <f t="shared" si="884"/>
        <v>11902</v>
      </c>
      <c r="R555" s="117">
        <f t="shared" si="885"/>
        <v>0</v>
      </c>
      <c r="S555" s="292">
        <f t="shared" si="907"/>
        <v>11902</v>
      </c>
      <c r="T555" s="292">
        <f t="shared" si="907"/>
        <v>11902</v>
      </c>
      <c r="U555" s="292">
        <f t="shared" si="907"/>
        <v>11902</v>
      </c>
    </row>
    <row r="556" spans="1:21" ht="14.25" customHeight="1">
      <c r="A556" s="34"/>
      <c r="B556" s="33" t="s">
        <v>154</v>
      </c>
      <c r="C556" s="12">
        <v>1</v>
      </c>
      <c r="D556" s="69">
        <f t="shared" ref="D556:U556" si="908">D558+D557+D559</f>
        <v>9996</v>
      </c>
      <c r="E556" s="69">
        <f t="shared" ref="E556:F556" si="909">E558+E557+E559</f>
        <v>5230</v>
      </c>
      <c r="F556" s="69">
        <f t="shared" si="909"/>
        <v>5483</v>
      </c>
      <c r="G556" s="69">
        <f t="shared" si="908"/>
        <v>11957</v>
      </c>
      <c r="H556" s="69">
        <f t="shared" si="908"/>
        <v>5483</v>
      </c>
      <c r="I556" s="69">
        <f t="shared" si="908"/>
        <v>13500</v>
      </c>
      <c r="J556" s="69">
        <f t="shared" si="908"/>
        <v>13500</v>
      </c>
      <c r="K556" s="69">
        <f t="shared" ref="K556:L556" si="910">K558+K557+K559</f>
        <v>13500</v>
      </c>
      <c r="L556" s="283">
        <f t="shared" si="910"/>
        <v>11902</v>
      </c>
      <c r="M556" s="283">
        <f t="shared" ref="M556:P556" si="911">M558+M557+M559</f>
        <v>0</v>
      </c>
      <c r="N556" s="283">
        <f t="shared" si="911"/>
        <v>2000</v>
      </c>
      <c r="O556" s="283">
        <f t="shared" si="911"/>
        <v>2000</v>
      </c>
      <c r="P556" s="283">
        <f t="shared" si="911"/>
        <v>7902</v>
      </c>
      <c r="Q556" s="117">
        <f t="shared" si="884"/>
        <v>11902</v>
      </c>
      <c r="R556" s="117">
        <f t="shared" si="885"/>
        <v>0</v>
      </c>
      <c r="S556" s="283">
        <f t="shared" si="908"/>
        <v>11902</v>
      </c>
      <c r="T556" s="283">
        <f t="shared" si="908"/>
        <v>11902</v>
      </c>
      <c r="U556" s="283">
        <f t="shared" si="908"/>
        <v>11902</v>
      </c>
    </row>
    <row r="557" spans="1:21" ht="0.75" customHeight="1">
      <c r="A557" s="34"/>
      <c r="B557" s="51" t="s">
        <v>277</v>
      </c>
      <c r="C557" s="12" t="s">
        <v>278</v>
      </c>
      <c r="D557" s="68"/>
      <c r="E557" s="197"/>
      <c r="F557" s="68"/>
      <c r="G557" s="68"/>
      <c r="H557" s="68"/>
      <c r="I557" s="197"/>
      <c r="J557" s="197"/>
      <c r="K557" s="197"/>
      <c r="L557" s="282"/>
      <c r="M557" s="282"/>
      <c r="N557" s="282"/>
      <c r="O557" s="282"/>
      <c r="P557" s="282"/>
      <c r="Q557" s="117">
        <f t="shared" si="884"/>
        <v>0</v>
      </c>
      <c r="R557" s="117">
        <f t="shared" si="885"/>
        <v>0</v>
      </c>
      <c r="S557" s="282"/>
      <c r="T557" s="282"/>
      <c r="U557" s="282"/>
    </row>
    <row r="558" spans="1:21" ht="18.75" customHeight="1">
      <c r="A558" s="21"/>
      <c r="B558" s="21" t="s">
        <v>279</v>
      </c>
      <c r="C558" s="12" t="s">
        <v>280</v>
      </c>
      <c r="D558" s="68">
        <v>9996</v>
      </c>
      <c r="E558" s="197">
        <v>5230</v>
      </c>
      <c r="F558" s="68">
        <v>5483</v>
      </c>
      <c r="G558" s="68">
        <v>11957</v>
      </c>
      <c r="H558" s="68">
        <v>5483</v>
      </c>
      <c r="I558" s="197">
        <v>13500</v>
      </c>
      <c r="J558" s="197">
        <v>13500</v>
      </c>
      <c r="K558" s="197">
        <v>13500</v>
      </c>
      <c r="L558" s="282">
        <f>11902</f>
        <v>11902</v>
      </c>
      <c r="M558" s="282">
        <v>0</v>
      </c>
      <c r="N558" s="282">
        <f>2000</f>
        <v>2000</v>
      </c>
      <c r="O558" s="282">
        <v>2000</v>
      </c>
      <c r="P558" s="282">
        <v>7902</v>
      </c>
      <c r="Q558" s="117">
        <f t="shared" si="884"/>
        <v>11902</v>
      </c>
      <c r="R558" s="117">
        <f t="shared" si="885"/>
        <v>0</v>
      </c>
      <c r="S558" s="282">
        <v>11902</v>
      </c>
      <c r="T558" s="282">
        <v>11902</v>
      </c>
      <c r="U558" s="282">
        <v>11902</v>
      </c>
    </row>
    <row r="559" spans="1:21" ht="0.75" customHeight="1">
      <c r="A559" s="21"/>
      <c r="B559" s="33" t="s">
        <v>511</v>
      </c>
      <c r="C559" s="12"/>
      <c r="D559" s="68"/>
      <c r="E559" s="197"/>
      <c r="F559" s="68"/>
      <c r="G559" s="68"/>
      <c r="H559" s="68"/>
      <c r="I559" s="197"/>
      <c r="J559" s="197"/>
      <c r="K559" s="197"/>
      <c r="L559" s="282"/>
      <c r="M559" s="282"/>
      <c r="N559" s="282"/>
      <c r="O559" s="282"/>
      <c r="P559" s="282"/>
      <c r="Q559" s="117">
        <f t="shared" si="884"/>
        <v>0</v>
      </c>
      <c r="R559" s="117">
        <f t="shared" si="885"/>
        <v>0</v>
      </c>
      <c r="S559" s="282"/>
      <c r="T559" s="282"/>
      <c r="U559" s="282"/>
    </row>
    <row r="560" spans="1:21" ht="27" customHeight="1">
      <c r="A560" s="34" t="s">
        <v>281</v>
      </c>
      <c r="B560" s="50" t="s">
        <v>648</v>
      </c>
      <c r="C560" s="12" t="s">
        <v>282</v>
      </c>
      <c r="D560" s="73">
        <f t="shared" ref="D560:U560" si="912">D561+D568</f>
        <v>253</v>
      </c>
      <c r="E560" s="73">
        <f t="shared" ref="E560:F560" si="913">E561+E568</f>
        <v>232</v>
      </c>
      <c r="F560" s="73">
        <f t="shared" si="913"/>
        <v>280</v>
      </c>
      <c r="G560" s="73">
        <f t="shared" si="912"/>
        <v>280</v>
      </c>
      <c r="H560" s="73">
        <f t="shared" si="912"/>
        <v>280</v>
      </c>
      <c r="I560" s="73">
        <f t="shared" si="912"/>
        <v>365</v>
      </c>
      <c r="J560" s="73">
        <f t="shared" si="912"/>
        <v>290</v>
      </c>
      <c r="K560" s="73">
        <f t="shared" ref="K560:L560" si="914">K561+K568</f>
        <v>365</v>
      </c>
      <c r="L560" s="292">
        <f t="shared" si="914"/>
        <v>180</v>
      </c>
      <c r="M560" s="292">
        <f t="shared" ref="M560:P560" si="915">M561+M568</f>
        <v>30</v>
      </c>
      <c r="N560" s="292">
        <f t="shared" si="915"/>
        <v>55</v>
      </c>
      <c r="O560" s="292">
        <f t="shared" si="915"/>
        <v>65</v>
      </c>
      <c r="P560" s="292">
        <f t="shared" si="915"/>
        <v>30</v>
      </c>
      <c r="Q560" s="117">
        <f t="shared" si="884"/>
        <v>180</v>
      </c>
      <c r="R560" s="117">
        <f t="shared" si="885"/>
        <v>0</v>
      </c>
      <c r="S560" s="292">
        <f t="shared" si="912"/>
        <v>230</v>
      </c>
      <c r="T560" s="292">
        <f t="shared" si="912"/>
        <v>250</v>
      </c>
      <c r="U560" s="292">
        <f t="shared" si="912"/>
        <v>260</v>
      </c>
    </row>
    <row r="561" spans="1:21" ht="12" customHeight="1">
      <c r="A561" s="34"/>
      <c r="B561" s="24" t="s">
        <v>153</v>
      </c>
      <c r="C561" s="12"/>
      <c r="D561" s="73">
        <f t="shared" ref="D561:U561" si="916">D562</f>
        <v>253</v>
      </c>
      <c r="E561" s="73">
        <f t="shared" si="916"/>
        <v>222</v>
      </c>
      <c r="F561" s="73">
        <f t="shared" si="916"/>
        <v>270</v>
      </c>
      <c r="G561" s="73">
        <f t="shared" si="916"/>
        <v>270</v>
      </c>
      <c r="H561" s="73">
        <f t="shared" si="916"/>
        <v>270</v>
      </c>
      <c r="I561" s="73">
        <f t="shared" si="916"/>
        <v>290</v>
      </c>
      <c r="J561" s="73">
        <f t="shared" si="916"/>
        <v>290</v>
      </c>
      <c r="K561" s="73">
        <f t="shared" si="916"/>
        <v>290</v>
      </c>
      <c r="L561" s="292">
        <f t="shared" si="916"/>
        <v>180</v>
      </c>
      <c r="M561" s="292">
        <f t="shared" si="916"/>
        <v>30</v>
      </c>
      <c r="N561" s="292">
        <f t="shared" si="916"/>
        <v>55</v>
      </c>
      <c r="O561" s="292">
        <f t="shared" si="916"/>
        <v>65</v>
      </c>
      <c r="P561" s="292">
        <f t="shared" si="916"/>
        <v>30</v>
      </c>
      <c r="Q561" s="117">
        <f t="shared" si="884"/>
        <v>180</v>
      </c>
      <c r="R561" s="117">
        <f t="shared" si="885"/>
        <v>0</v>
      </c>
      <c r="S561" s="292">
        <f t="shared" si="916"/>
        <v>230</v>
      </c>
      <c r="T561" s="292">
        <f t="shared" si="916"/>
        <v>250</v>
      </c>
      <c r="U561" s="292">
        <f t="shared" si="916"/>
        <v>260</v>
      </c>
    </row>
    <row r="562" spans="1:21" ht="14.25" customHeight="1">
      <c r="A562" s="34"/>
      <c r="B562" s="33" t="s">
        <v>154</v>
      </c>
      <c r="C562" s="12"/>
      <c r="D562" s="69">
        <f t="shared" ref="D562:U562" si="917">D563+D565+D566</f>
        <v>253</v>
      </c>
      <c r="E562" s="69">
        <f t="shared" ref="E562:F562" si="918">E563+E565+E566</f>
        <v>222</v>
      </c>
      <c r="F562" s="69">
        <f t="shared" si="918"/>
        <v>270</v>
      </c>
      <c r="G562" s="69">
        <f t="shared" si="917"/>
        <v>270</v>
      </c>
      <c r="H562" s="69">
        <f t="shared" si="917"/>
        <v>270</v>
      </c>
      <c r="I562" s="69">
        <f t="shared" si="917"/>
        <v>290</v>
      </c>
      <c r="J562" s="69">
        <f t="shared" si="917"/>
        <v>290</v>
      </c>
      <c r="K562" s="69">
        <f t="shared" ref="K562:L562" si="919">K563+K565+K566</f>
        <v>290</v>
      </c>
      <c r="L562" s="283">
        <f t="shared" si="919"/>
        <v>180</v>
      </c>
      <c r="M562" s="283">
        <f t="shared" ref="M562:P562" si="920">M563+M565+M566</f>
        <v>30</v>
      </c>
      <c r="N562" s="283">
        <f t="shared" si="920"/>
        <v>55</v>
      </c>
      <c r="O562" s="283">
        <f t="shared" si="920"/>
        <v>65</v>
      </c>
      <c r="P562" s="283">
        <f t="shared" si="920"/>
        <v>30</v>
      </c>
      <c r="Q562" s="117">
        <f t="shared" si="884"/>
        <v>180</v>
      </c>
      <c r="R562" s="117">
        <f t="shared" si="885"/>
        <v>0</v>
      </c>
      <c r="S562" s="283">
        <f t="shared" si="917"/>
        <v>230</v>
      </c>
      <c r="T562" s="283">
        <f t="shared" si="917"/>
        <v>250</v>
      </c>
      <c r="U562" s="283">
        <f t="shared" si="917"/>
        <v>260</v>
      </c>
    </row>
    <row r="563" spans="1:21" ht="14.25" customHeight="1">
      <c r="A563" s="34"/>
      <c r="B563" s="33" t="s">
        <v>578</v>
      </c>
      <c r="C563" s="12">
        <v>10</v>
      </c>
      <c r="D563" s="68">
        <v>100</v>
      </c>
      <c r="E563" s="197">
        <v>81</v>
      </c>
      <c r="F563" s="68">
        <v>120</v>
      </c>
      <c r="G563" s="68">
        <v>120</v>
      </c>
      <c r="H563" s="68">
        <v>120</v>
      </c>
      <c r="I563" s="197">
        <v>110</v>
      </c>
      <c r="J563" s="197">
        <v>110</v>
      </c>
      <c r="K563" s="197">
        <v>110</v>
      </c>
      <c r="L563" s="282">
        <v>50</v>
      </c>
      <c r="M563" s="282"/>
      <c r="N563" s="282">
        <v>25</v>
      </c>
      <c r="O563" s="282">
        <v>25</v>
      </c>
      <c r="P563" s="282"/>
      <c r="Q563" s="117">
        <f t="shared" si="884"/>
        <v>50</v>
      </c>
      <c r="R563" s="117">
        <f t="shared" si="885"/>
        <v>0</v>
      </c>
      <c r="S563" s="282">
        <v>50</v>
      </c>
      <c r="T563" s="282">
        <v>50</v>
      </c>
      <c r="U563" s="282">
        <v>50</v>
      </c>
    </row>
    <row r="564" spans="1:21" ht="0.75" customHeight="1">
      <c r="A564" s="34"/>
      <c r="B564" s="33" t="s">
        <v>469</v>
      </c>
      <c r="C564" s="12"/>
      <c r="D564" s="68"/>
      <c r="E564" s="197"/>
      <c r="F564" s="68"/>
      <c r="G564" s="68"/>
      <c r="H564" s="68"/>
      <c r="I564" s="197"/>
      <c r="J564" s="197"/>
      <c r="K564" s="197"/>
      <c r="L564" s="282"/>
      <c r="M564" s="282"/>
      <c r="N564" s="282"/>
      <c r="O564" s="282"/>
      <c r="P564" s="282"/>
      <c r="Q564" s="117">
        <f t="shared" si="884"/>
        <v>0</v>
      </c>
      <c r="R564" s="117">
        <f t="shared" si="885"/>
        <v>0</v>
      </c>
      <c r="S564" s="282"/>
      <c r="T564" s="282"/>
      <c r="U564" s="282"/>
    </row>
    <row r="565" spans="1:21" ht="12.75" customHeight="1">
      <c r="A565" s="34"/>
      <c r="B565" s="33" t="s">
        <v>588</v>
      </c>
      <c r="C565" s="12">
        <v>20</v>
      </c>
      <c r="D565" s="68">
        <v>153</v>
      </c>
      <c r="E565" s="197">
        <v>141</v>
      </c>
      <c r="F565" s="68">
        <v>150</v>
      </c>
      <c r="G565" s="68">
        <v>150</v>
      </c>
      <c r="H565" s="68">
        <v>150</v>
      </c>
      <c r="I565" s="197">
        <v>180</v>
      </c>
      <c r="J565" s="197">
        <v>180</v>
      </c>
      <c r="K565" s="197">
        <v>180</v>
      </c>
      <c r="L565" s="282">
        <v>130</v>
      </c>
      <c r="M565" s="282">
        <v>30</v>
      </c>
      <c r="N565" s="282">
        <v>30</v>
      </c>
      <c r="O565" s="282">
        <v>40</v>
      </c>
      <c r="P565" s="282">
        <v>30</v>
      </c>
      <c r="Q565" s="117">
        <f t="shared" si="884"/>
        <v>130</v>
      </c>
      <c r="R565" s="117">
        <f t="shared" si="885"/>
        <v>0</v>
      </c>
      <c r="S565" s="282">
        <v>180</v>
      </c>
      <c r="T565" s="282">
        <v>200</v>
      </c>
      <c r="U565" s="282">
        <v>210</v>
      </c>
    </row>
    <row r="566" spans="1:21" ht="0.75" customHeight="1">
      <c r="A566" s="34"/>
      <c r="B566" s="33" t="s">
        <v>511</v>
      </c>
      <c r="C566" s="12"/>
      <c r="D566" s="68"/>
      <c r="E566" s="197"/>
      <c r="F566" s="68"/>
      <c r="G566" s="68"/>
      <c r="H566" s="68"/>
      <c r="I566" s="197"/>
      <c r="J566" s="197"/>
      <c r="K566" s="197"/>
      <c r="L566" s="282"/>
      <c r="M566" s="282"/>
      <c r="N566" s="282"/>
      <c r="O566" s="282"/>
      <c r="P566" s="282"/>
      <c r="Q566" s="117">
        <f t="shared" si="884"/>
        <v>0</v>
      </c>
      <c r="R566" s="117">
        <f t="shared" si="885"/>
        <v>0</v>
      </c>
      <c r="S566" s="282"/>
      <c r="T566" s="282"/>
      <c r="U566" s="282"/>
    </row>
    <row r="567" spans="1:21" ht="16.5" hidden="1" customHeight="1">
      <c r="A567" s="34"/>
      <c r="B567" s="33"/>
      <c r="C567" s="12"/>
      <c r="D567" s="68"/>
      <c r="E567" s="197"/>
      <c r="F567" s="68"/>
      <c r="G567" s="68"/>
      <c r="H567" s="68"/>
      <c r="I567" s="197"/>
      <c r="J567" s="197"/>
      <c r="K567" s="197"/>
      <c r="L567" s="282"/>
      <c r="M567" s="282"/>
      <c r="N567" s="282"/>
      <c r="O567" s="282"/>
      <c r="P567" s="282"/>
      <c r="Q567" s="117">
        <f t="shared" si="884"/>
        <v>0</v>
      </c>
      <c r="R567" s="117">
        <f t="shared" si="885"/>
        <v>0</v>
      </c>
      <c r="S567" s="282"/>
      <c r="T567" s="282"/>
      <c r="U567" s="282"/>
    </row>
    <row r="568" spans="1:21" ht="16.5" hidden="1" customHeight="1">
      <c r="A568" s="34"/>
      <c r="B568" s="26" t="s">
        <v>165</v>
      </c>
      <c r="C568" s="12"/>
      <c r="D568" s="69"/>
      <c r="E568" s="69">
        <f t="shared" ref="E568:U568" si="921">E569</f>
        <v>10</v>
      </c>
      <c r="F568" s="69">
        <f t="shared" si="921"/>
        <v>10</v>
      </c>
      <c r="G568" s="69">
        <f t="shared" si="921"/>
        <v>10</v>
      </c>
      <c r="H568" s="69">
        <f t="shared" si="921"/>
        <v>10</v>
      </c>
      <c r="I568" s="69">
        <f t="shared" si="921"/>
        <v>75</v>
      </c>
      <c r="J568" s="69">
        <f t="shared" si="921"/>
        <v>0</v>
      </c>
      <c r="K568" s="69">
        <f t="shared" si="921"/>
        <v>75</v>
      </c>
      <c r="L568" s="283">
        <f t="shared" si="921"/>
        <v>0</v>
      </c>
      <c r="M568" s="283">
        <f t="shared" si="921"/>
        <v>0</v>
      </c>
      <c r="N568" s="283">
        <f t="shared" si="921"/>
        <v>0</v>
      </c>
      <c r="O568" s="283">
        <f t="shared" si="921"/>
        <v>0</v>
      </c>
      <c r="P568" s="283">
        <f t="shared" si="921"/>
        <v>0</v>
      </c>
      <c r="Q568" s="117">
        <f t="shared" si="884"/>
        <v>0</v>
      </c>
      <c r="R568" s="117">
        <f t="shared" si="885"/>
        <v>0</v>
      </c>
      <c r="S568" s="283">
        <f t="shared" si="921"/>
        <v>0</v>
      </c>
      <c r="T568" s="283">
        <f t="shared" si="921"/>
        <v>0</v>
      </c>
      <c r="U568" s="283">
        <f t="shared" si="921"/>
        <v>0</v>
      </c>
    </row>
    <row r="569" spans="1:21" ht="19.5" hidden="1" customHeight="1">
      <c r="A569" s="34"/>
      <c r="B569" s="33" t="s">
        <v>194</v>
      </c>
      <c r="C569" s="12">
        <v>70</v>
      </c>
      <c r="D569" s="68">
        <v>0</v>
      </c>
      <c r="E569" s="197">
        <v>10</v>
      </c>
      <c r="F569" s="68">
        <v>10</v>
      </c>
      <c r="G569" s="68">
        <v>10</v>
      </c>
      <c r="H569" s="68">
        <v>10</v>
      </c>
      <c r="I569" s="197">
        <v>75</v>
      </c>
      <c r="J569" s="197"/>
      <c r="K569" s="197">
        <v>75</v>
      </c>
      <c r="L569" s="282">
        <v>0</v>
      </c>
      <c r="M569" s="282">
        <v>0</v>
      </c>
      <c r="N569" s="282">
        <v>0</v>
      </c>
      <c r="O569" s="282">
        <v>0</v>
      </c>
      <c r="P569" s="282">
        <v>0</v>
      </c>
      <c r="Q569" s="117">
        <f t="shared" si="884"/>
        <v>0</v>
      </c>
      <c r="R569" s="117">
        <f t="shared" si="885"/>
        <v>0</v>
      </c>
      <c r="S569" s="282">
        <v>0</v>
      </c>
      <c r="T569" s="282">
        <v>0</v>
      </c>
      <c r="U569" s="282">
        <v>0</v>
      </c>
    </row>
    <row r="570" spans="1:21" ht="14.25">
      <c r="A570" s="41">
        <v>2</v>
      </c>
      <c r="B570" s="186" t="s">
        <v>599</v>
      </c>
      <c r="C570" s="184">
        <v>66.02</v>
      </c>
      <c r="D570" s="185">
        <f t="shared" ref="D570:U570" si="922">D571+D579+D613</f>
        <v>30220</v>
      </c>
      <c r="E570" s="185">
        <f t="shared" ref="E570:F570" si="923">E571+E579+E613</f>
        <v>38783</v>
      </c>
      <c r="F570" s="185">
        <f t="shared" si="923"/>
        <v>57129.5</v>
      </c>
      <c r="G570" s="185">
        <f t="shared" si="922"/>
        <v>45728</v>
      </c>
      <c r="H570" s="185">
        <f t="shared" si="922"/>
        <v>57129.5</v>
      </c>
      <c r="I570" s="185">
        <f t="shared" si="922"/>
        <v>123520</v>
      </c>
      <c r="J570" s="185">
        <f t="shared" si="922"/>
        <v>31337</v>
      </c>
      <c r="K570" s="185">
        <f t="shared" ref="K570:L570" si="924">K571+K579+K613</f>
        <v>76021</v>
      </c>
      <c r="L570" s="299">
        <f t="shared" si="924"/>
        <v>21702</v>
      </c>
      <c r="M570" s="299">
        <f t="shared" ref="M570:P570" si="925">M571+M579+M613</f>
        <v>14178</v>
      </c>
      <c r="N570" s="299">
        <f t="shared" si="925"/>
        <v>2567</v>
      </c>
      <c r="O570" s="299">
        <f t="shared" si="925"/>
        <v>3566</v>
      </c>
      <c r="P570" s="299">
        <f t="shared" si="925"/>
        <v>1391</v>
      </c>
      <c r="Q570" s="117">
        <f t="shared" si="884"/>
        <v>21702</v>
      </c>
      <c r="R570" s="117">
        <f t="shared" si="885"/>
        <v>0</v>
      </c>
      <c r="S570" s="299">
        <f t="shared" si="922"/>
        <v>11370</v>
      </c>
      <c r="T570" s="299">
        <f t="shared" si="922"/>
        <v>12068</v>
      </c>
      <c r="U570" s="299">
        <f t="shared" si="922"/>
        <v>12068</v>
      </c>
    </row>
    <row r="571" spans="1:21" ht="14.25">
      <c r="A571" s="34" t="s">
        <v>283</v>
      </c>
      <c r="B571" s="26" t="s">
        <v>284</v>
      </c>
      <c r="C571" s="12" t="s">
        <v>285</v>
      </c>
      <c r="D571" s="73">
        <f t="shared" ref="D571:U571" si="926">D572+D576</f>
        <v>18976</v>
      </c>
      <c r="E571" s="73">
        <f t="shared" ref="E571:F571" si="927">E572+E576</f>
        <v>30313</v>
      </c>
      <c r="F571" s="73">
        <f t="shared" si="927"/>
        <v>46946.5</v>
      </c>
      <c r="G571" s="73">
        <f t="shared" si="926"/>
        <v>39209</v>
      </c>
      <c r="H571" s="73">
        <f t="shared" si="926"/>
        <v>46946.5</v>
      </c>
      <c r="I571" s="73">
        <f t="shared" si="926"/>
        <v>117183</v>
      </c>
      <c r="J571" s="73">
        <f t="shared" si="926"/>
        <v>25000</v>
      </c>
      <c r="K571" s="73">
        <f t="shared" ref="K571:L571" si="928">K572+K576</f>
        <v>69944</v>
      </c>
      <c r="L571" s="292">
        <f t="shared" si="928"/>
        <v>16889</v>
      </c>
      <c r="M571" s="292">
        <f t="shared" ref="M571:P571" si="929">M572+M576</f>
        <v>12600</v>
      </c>
      <c r="N571" s="292">
        <f t="shared" si="929"/>
        <v>1000</v>
      </c>
      <c r="O571" s="292">
        <f t="shared" si="929"/>
        <v>2000</v>
      </c>
      <c r="P571" s="292">
        <f t="shared" si="929"/>
        <v>1289</v>
      </c>
      <c r="Q571" s="117">
        <f t="shared" si="884"/>
        <v>16889</v>
      </c>
      <c r="R571" s="117">
        <f t="shared" si="885"/>
        <v>0</v>
      </c>
      <c r="S571" s="292">
        <f t="shared" si="926"/>
        <v>5000</v>
      </c>
      <c r="T571" s="292">
        <f t="shared" si="926"/>
        <v>5000</v>
      </c>
      <c r="U571" s="292">
        <f t="shared" si="926"/>
        <v>5000</v>
      </c>
    </row>
    <row r="572" spans="1:21" ht="14.25">
      <c r="A572" s="34"/>
      <c r="B572" s="24" t="s">
        <v>153</v>
      </c>
      <c r="C572" s="12"/>
      <c r="D572" s="73">
        <f t="shared" ref="D572:U574" si="930">D573</f>
        <v>12417</v>
      </c>
      <c r="E572" s="73">
        <f t="shared" si="930"/>
        <v>15031</v>
      </c>
      <c r="F572" s="73">
        <f t="shared" si="930"/>
        <v>15958</v>
      </c>
      <c r="G572" s="73">
        <f t="shared" si="930"/>
        <v>10000</v>
      </c>
      <c r="H572" s="73">
        <f t="shared" si="930"/>
        <v>15958</v>
      </c>
      <c r="I572" s="73">
        <f t="shared" si="930"/>
        <v>18186</v>
      </c>
      <c r="J572" s="73">
        <f t="shared" si="930"/>
        <v>10000</v>
      </c>
      <c r="K572" s="73">
        <f t="shared" si="930"/>
        <v>17903</v>
      </c>
      <c r="L572" s="292">
        <f t="shared" si="930"/>
        <v>6889</v>
      </c>
      <c r="M572" s="292">
        <f t="shared" si="930"/>
        <v>2600</v>
      </c>
      <c r="N572" s="292">
        <f t="shared" si="930"/>
        <v>1000</v>
      </c>
      <c r="O572" s="292">
        <f t="shared" si="930"/>
        <v>2000</v>
      </c>
      <c r="P572" s="292">
        <f t="shared" si="930"/>
        <v>1289</v>
      </c>
      <c r="Q572" s="117">
        <f t="shared" si="884"/>
        <v>6889</v>
      </c>
      <c r="R572" s="117">
        <f t="shared" si="885"/>
        <v>0</v>
      </c>
      <c r="S572" s="292">
        <f t="shared" si="930"/>
        <v>5000</v>
      </c>
      <c r="T572" s="292">
        <f t="shared" si="930"/>
        <v>5000</v>
      </c>
      <c r="U572" s="292">
        <f t="shared" si="930"/>
        <v>5000</v>
      </c>
    </row>
    <row r="573" spans="1:21" ht="15">
      <c r="A573" s="34"/>
      <c r="B573" s="33" t="s">
        <v>154</v>
      </c>
      <c r="C573" s="12">
        <v>1</v>
      </c>
      <c r="D573" s="69">
        <f t="shared" si="930"/>
        <v>12417</v>
      </c>
      <c r="E573" s="69">
        <f t="shared" si="930"/>
        <v>15031</v>
      </c>
      <c r="F573" s="69">
        <f t="shared" si="930"/>
        <v>15958</v>
      </c>
      <c r="G573" s="69">
        <f t="shared" si="930"/>
        <v>10000</v>
      </c>
      <c r="H573" s="69">
        <f t="shared" si="930"/>
        <v>15958</v>
      </c>
      <c r="I573" s="69">
        <f t="shared" si="930"/>
        <v>18186</v>
      </c>
      <c r="J573" s="69">
        <f t="shared" si="930"/>
        <v>10000</v>
      </c>
      <c r="K573" s="69">
        <f t="shared" si="930"/>
        <v>17903</v>
      </c>
      <c r="L573" s="283">
        <f t="shared" si="930"/>
        <v>6889</v>
      </c>
      <c r="M573" s="283">
        <f t="shared" si="930"/>
        <v>2600</v>
      </c>
      <c r="N573" s="283">
        <f t="shared" si="930"/>
        <v>1000</v>
      </c>
      <c r="O573" s="283">
        <f t="shared" si="930"/>
        <v>2000</v>
      </c>
      <c r="P573" s="283">
        <f t="shared" si="930"/>
        <v>1289</v>
      </c>
      <c r="Q573" s="117">
        <f t="shared" si="884"/>
        <v>6889</v>
      </c>
      <c r="R573" s="117">
        <f t="shared" si="885"/>
        <v>0</v>
      </c>
      <c r="S573" s="283">
        <f t="shared" si="930"/>
        <v>5000</v>
      </c>
      <c r="T573" s="283">
        <f t="shared" si="930"/>
        <v>5000</v>
      </c>
      <c r="U573" s="283">
        <f t="shared" si="930"/>
        <v>5000</v>
      </c>
    </row>
    <row r="574" spans="1:21" ht="15">
      <c r="A574" s="34"/>
      <c r="B574" s="33" t="s">
        <v>286</v>
      </c>
      <c r="C574" s="84" t="s">
        <v>287</v>
      </c>
      <c r="D574" s="69">
        <f t="shared" si="930"/>
        <v>12417</v>
      </c>
      <c r="E574" s="69">
        <f t="shared" si="930"/>
        <v>15031</v>
      </c>
      <c r="F574" s="69">
        <f t="shared" si="930"/>
        <v>15958</v>
      </c>
      <c r="G574" s="69">
        <f t="shared" si="930"/>
        <v>10000</v>
      </c>
      <c r="H574" s="69">
        <f t="shared" si="930"/>
        <v>15958</v>
      </c>
      <c r="I574" s="69">
        <f t="shared" si="930"/>
        <v>18186</v>
      </c>
      <c r="J574" s="69">
        <f t="shared" si="930"/>
        <v>10000</v>
      </c>
      <c r="K574" s="69">
        <f t="shared" si="930"/>
        <v>17903</v>
      </c>
      <c r="L574" s="283">
        <f t="shared" si="930"/>
        <v>6889</v>
      </c>
      <c r="M574" s="283">
        <f t="shared" si="930"/>
        <v>2600</v>
      </c>
      <c r="N574" s="283">
        <f t="shared" si="930"/>
        <v>1000</v>
      </c>
      <c r="O574" s="283">
        <f t="shared" si="930"/>
        <v>2000</v>
      </c>
      <c r="P574" s="283">
        <f t="shared" si="930"/>
        <v>1289</v>
      </c>
      <c r="Q574" s="117">
        <f t="shared" si="884"/>
        <v>6889</v>
      </c>
      <c r="R574" s="117">
        <f t="shared" si="885"/>
        <v>0</v>
      </c>
      <c r="S574" s="283">
        <f t="shared" si="930"/>
        <v>5000</v>
      </c>
      <c r="T574" s="283">
        <f t="shared" si="930"/>
        <v>5000</v>
      </c>
      <c r="U574" s="283">
        <f t="shared" si="930"/>
        <v>5000</v>
      </c>
    </row>
    <row r="575" spans="1:21" ht="15">
      <c r="A575" s="34"/>
      <c r="B575" s="33" t="s">
        <v>288</v>
      </c>
      <c r="C575" s="84" t="s">
        <v>289</v>
      </c>
      <c r="D575" s="68">
        <v>12417</v>
      </c>
      <c r="E575" s="197">
        <v>15031</v>
      </c>
      <c r="F575" s="68">
        <v>15958</v>
      </c>
      <c r="G575" s="68">
        <v>10000</v>
      </c>
      <c r="H575" s="68">
        <v>15958</v>
      </c>
      <c r="I575" s="197">
        <v>18186</v>
      </c>
      <c r="J575" s="197">
        <v>10000</v>
      </c>
      <c r="K575" s="197">
        <v>17903</v>
      </c>
      <c r="L575" s="282">
        <f>6389+500</f>
        <v>6889</v>
      </c>
      <c r="M575" s="282">
        <v>2600</v>
      </c>
      <c r="N575" s="282">
        <v>1000</v>
      </c>
      <c r="O575" s="282">
        <v>2000</v>
      </c>
      <c r="P575" s="282">
        <v>1289</v>
      </c>
      <c r="Q575" s="117">
        <f t="shared" si="884"/>
        <v>6889</v>
      </c>
      <c r="R575" s="117">
        <f t="shared" si="885"/>
        <v>0</v>
      </c>
      <c r="S575" s="282">
        <v>5000</v>
      </c>
      <c r="T575" s="282">
        <v>5000</v>
      </c>
      <c r="U575" s="282">
        <v>5000</v>
      </c>
    </row>
    <row r="576" spans="1:21" ht="14.25">
      <c r="A576" s="34"/>
      <c r="B576" s="26" t="s">
        <v>165</v>
      </c>
      <c r="C576" s="12"/>
      <c r="D576" s="69">
        <f t="shared" ref="D576:U576" si="931">D577+D578</f>
        <v>6559</v>
      </c>
      <c r="E576" s="69">
        <f t="shared" ref="E576:F576" si="932">E577+E578</f>
        <v>15282</v>
      </c>
      <c r="F576" s="69">
        <f t="shared" si="932"/>
        <v>30988.5</v>
      </c>
      <c r="G576" s="69">
        <f t="shared" si="931"/>
        <v>29209</v>
      </c>
      <c r="H576" s="69">
        <f t="shared" si="931"/>
        <v>30988.5</v>
      </c>
      <c r="I576" s="69">
        <f t="shared" si="931"/>
        <v>98997</v>
      </c>
      <c r="J576" s="69">
        <f t="shared" si="931"/>
        <v>15000</v>
      </c>
      <c r="K576" s="69">
        <f t="shared" ref="K576:L576" si="933">K577+K578</f>
        <v>52041</v>
      </c>
      <c r="L576" s="283">
        <f t="shared" si="933"/>
        <v>10000</v>
      </c>
      <c r="M576" s="283">
        <f t="shared" ref="M576:P576" si="934">M577+M578</f>
        <v>10000</v>
      </c>
      <c r="N576" s="283">
        <f t="shared" si="934"/>
        <v>0</v>
      </c>
      <c r="O576" s="283">
        <f t="shared" si="934"/>
        <v>0</v>
      </c>
      <c r="P576" s="283">
        <f t="shared" si="934"/>
        <v>0</v>
      </c>
      <c r="Q576" s="117">
        <f t="shared" si="884"/>
        <v>10000</v>
      </c>
      <c r="R576" s="117">
        <f t="shared" si="885"/>
        <v>0</v>
      </c>
      <c r="S576" s="283">
        <f t="shared" si="931"/>
        <v>0</v>
      </c>
      <c r="T576" s="283">
        <f t="shared" si="931"/>
        <v>0</v>
      </c>
      <c r="U576" s="283">
        <f t="shared" si="931"/>
        <v>0</v>
      </c>
    </row>
    <row r="577" spans="1:21" ht="16.5" customHeight="1">
      <c r="A577" s="34"/>
      <c r="B577" s="33" t="s">
        <v>253</v>
      </c>
      <c r="C577" s="12" t="s">
        <v>168</v>
      </c>
      <c r="D577" s="68">
        <v>6559</v>
      </c>
      <c r="E577" s="197">
        <v>15282</v>
      </c>
      <c r="F577" s="68">
        <v>30988.5</v>
      </c>
      <c r="G577" s="68">
        <f>28194+15+1000</f>
        <v>29209</v>
      </c>
      <c r="H577" s="68">
        <v>30988.5</v>
      </c>
      <c r="I577" s="197">
        <v>98997</v>
      </c>
      <c r="J577" s="197">
        <v>15000</v>
      </c>
      <c r="K577" s="197">
        <v>52041</v>
      </c>
      <c r="L577" s="282">
        <v>10000</v>
      </c>
      <c r="M577" s="282">
        <v>10000</v>
      </c>
      <c r="N577" s="282"/>
      <c r="O577" s="282"/>
      <c r="P577" s="282"/>
      <c r="Q577" s="117">
        <f t="shared" si="884"/>
        <v>10000</v>
      </c>
      <c r="R577" s="117">
        <f t="shared" si="885"/>
        <v>0</v>
      </c>
      <c r="S577" s="282"/>
      <c r="T577" s="282"/>
      <c r="U577" s="282"/>
    </row>
    <row r="578" spans="1:21" ht="28.5" hidden="1" customHeight="1">
      <c r="A578" s="34"/>
      <c r="B578" s="33" t="s">
        <v>169</v>
      </c>
      <c r="C578" s="12" t="s">
        <v>170</v>
      </c>
      <c r="D578" s="68">
        <v>0</v>
      </c>
      <c r="E578" s="197"/>
      <c r="F578" s="68">
        <v>0</v>
      </c>
      <c r="G578" s="68">
        <v>0</v>
      </c>
      <c r="H578" s="68">
        <v>0</v>
      </c>
      <c r="I578" s="197"/>
      <c r="J578" s="197"/>
      <c r="K578" s="197"/>
      <c r="L578" s="282"/>
      <c r="M578" s="282"/>
      <c r="N578" s="282"/>
      <c r="O578" s="282"/>
      <c r="P578" s="282"/>
      <c r="Q578" s="117">
        <f t="shared" si="884"/>
        <v>0</v>
      </c>
      <c r="R578" s="117">
        <f t="shared" si="885"/>
        <v>0</v>
      </c>
      <c r="S578" s="282"/>
      <c r="T578" s="282"/>
      <c r="U578" s="282"/>
    </row>
    <row r="579" spans="1:21" ht="25.5" customHeight="1">
      <c r="A579" s="34" t="s">
        <v>290</v>
      </c>
      <c r="B579" s="31" t="s">
        <v>600</v>
      </c>
      <c r="C579" s="12" t="s">
        <v>291</v>
      </c>
      <c r="D579" s="73">
        <f t="shared" ref="D579:U582" si="935">D583+D589+D595+D601+D607</f>
        <v>5832</v>
      </c>
      <c r="E579" s="73">
        <f t="shared" ref="E579:F579" si="936">E583+E589+E595+E601+E607</f>
        <v>5613</v>
      </c>
      <c r="F579" s="73">
        <f t="shared" si="936"/>
        <v>6361</v>
      </c>
      <c r="G579" s="73">
        <f t="shared" si="935"/>
        <v>6519</v>
      </c>
      <c r="H579" s="73">
        <f t="shared" si="935"/>
        <v>6361</v>
      </c>
      <c r="I579" s="73">
        <f t="shared" si="935"/>
        <v>6337</v>
      </c>
      <c r="J579" s="73">
        <f t="shared" si="935"/>
        <v>6337</v>
      </c>
      <c r="K579" s="73">
        <f t="shared" ref="K579:L579" si="937">K583+K589+K595+K601+K607</f>
        <v>6077</v>
      </c>
      <c r="L579" s="292">
        <f t="shared" si="937"/>
        <v>4813</v>
      </c>
      <c r="M579" s="292">
        <f t="shared" ref="M579:P579" si="938">M583+M589+M595+M601+M607</f>
        <v>1578</v>
      </c>
      <c r="N579" s="292">
        <f t="shared" si="938"/>
        <v>1567</v>
      </c>
      <c r="O579" s="292">
        <f t="shared" si="938"/>
        <v>1566</v>
      </c>
      <c r="P579" s="292">
        <f t="shared" si="938"/>
        <v>102</v>
      </c>
      <c r="Q579" s="117">
        <f t="shared" si="884"/>
        <v>4813</v>
      </c>
      <c r="R579" s="117">
        <f t="shared" si="885"/>
        <v>0</v>
      </c>
      <c r="S579" s="292">
        <f t="shared" si="935"/>
        <v>6370</v>
      </c>
      <c r="T579" s="292">
        <f t="shared" si="935"/>
        <v>7068</v>
      </c>
      <c r="U579" s="292">
        <f t="shared" si="935"/>
        <v>7068</v>
      </c>
    </row>
    <row r="580" spans="1:21" ht="14.25">
      <c r="A580" s="34"/>
      <c r="B580" s="24" t="s">
        <v>153</v>
      </c>
      <c r="C580" s="12"/>
      <c r="D580" s="73">
        <f t="shared" si="935"/>
        <v>5832</v>
      </c>
      <c r="E580" s="73">
        <f t="shared" ref="E580:F580" si="939">E584+E590+E596+E602+E608</f>
        <v>5613</v>
      </c>
      <c r="F580" s="73">
        <f t="shared" si="939"/>
        <v>6361</v>
      </c>
      <c r="G580" s="73">
        <f t="shared" si="935"/>
        <v>6519</v>
      </c>
      <c r="H580" s="73">
        <f t="shared" si="935"/>
        <v>6361</v>
      </c>
      <c r="I580" s="73">
        <f t="shared" si="935"/>
        <v>6337</v>
      </c>
      <c r="J580" s="73">
        <f t="shared" si="935"/>
        <v>6337</v>
      </c>
      <c r="K580" s="73">
        <f t="shared" ref="K580:L580" si="940">K584+K590+K596+K602+K608</f>
        <v>6077</v>
      </c>
      <c r="L580" s="292">
        <f t="shared" si="940"/>
        <v>4813</v>
      </c>
      <c r="M580" s="292">
        <f t="shared" ref="M580:P580" si="941">M584+M590+M596+M602+M608</f>
        <v>1578</v>
      </c>
      <c r="N580" s="292">
        <f t="shared" si="941"/>
        <v>1567</v>
      </c>
      <c r="O580" s="292">
        <f t="shared" si="941"/>
        <v>1566</v>
      </c>
      <c r="P580" s="292">
        <f t="shared" si="941"/>
        <v>102</v>
      </c>
      <c r="Q580" s="117">
        <f t="shared" si="884"/>
        <v>4813</v>
      </c>
      <c r="R580" s="117">
        <f t="shared" si="885"/>
        <v>0</v>
      </c>
      <c r="S580" s="292">
        <f t="shared" si="935"/>
        <v>6370</v>
      </c>
      <c r="T580" s="292">
        <f t="shared" si="935"/>
        <v>7068</v>
      </c>
      <c r="U580" s="292">
        <f t="shared" si="935"/>
        <v>7068</v>
      </c>
    </row>
    <row r="581" spans="1:21" ht="15">
      <c r="A581" s="34"/>
      <c r="B581" s="33" t="s">
        <v>154</v>
      </c>
      <c r="C581" s="12"/>
      <c r="D581" s="69">
        <f t="shared" si="935"/>
        <v>5832</v>
      </c>
      <c r="E581" s="69">
        <f t="shared" ref="E581:F581" si="942">E585+E591+E597+E603+E609</f>
        <v>5613</v>
      </c>
      <c r="F581" s="69">
        <f t="shared" si="942"/>
        <v>6361</v>
      </c>
      <c r="G581" s="69">
        <f t="shared" si="935"/>
        <v>6519</v>
      </c>
      <c r="H581" s="69">
        <f t="shared" si="935"/>
        <v>6361</v>
      </c>
      <c r="I581" s="69">
        <f t="shared" si="935"/>
        <v>6337</v>
      </c>
      <c r="J581" s="69">
        <f t="shared" si="935"/>
        <v>6337</v>
      </c>
      <c r="K581" s="69">
        <f t="shared" ref="K581:L581" si="943">K585+K591+K597+K603+K609</f>
        <v>6077</v>
      </c>
      <c r="L581" s="283">
        <f t="shared" si="943"/>
        <v>4813</v>
      </c>
      <c r="M581" s="283">
        <f t="shared" ref="M581:P581" si="944">M585+M591+M597+M603+M609</f>
        <v>1578</v>
      </c>
      <c r="N581" s="283">
        <f t="shared" si="944"/>
        <v>1567</v>
      </c>
      <c r="O581" s="283">
        <f t="shared" si="944"/>
        <v>1566</v>
      </c>
      <c r="P581" s="283">
        <f t="shared" si="944"/>
        <v>102</v>
      </c>
      <c r="Q581" s="117">
        <f t="shared" si="884"/>
        <v>4813</v>
      </c>
      <c r="R581" s="117">
        <f t="shared" si="885"/>
        <v>0</v>
      </c>
      <c r="S581" s="283">
        <f t="shared" si="935"/>
        <v>6370</v>
      </c>
      <c r="T581" s="283">
        <f t="shared" si="935"/>
        <v>7068</v>
      </c>
      <c r="U581" s="283">
        <f t="shared" si="935"/>
        <v>7068</v>
      </c>
    </row>
    <row r="582" spans="1:21" ht="15">
      <c r="A582" s="34"/>
      <c r="B582" s="33" t="s">
        <v>292</v>
      </c>
      <c r="C582" s="12" t="s">
        <v>293</v>
      </c>
      <c r="D582" s="69">
        <f t="shared" si="935"/>
        <v>5832</v>
      </c>
      <c r="E582" s="69">
        <f t="shared" ref="E582:F582" si="945">E586+E592+E598+E604+E610</f>
        <v>5613</v>
      </c>
      <c r="F582" s="69">
        <f t="shared" si="945"/>
        <v>6361</v>
      </c>
      <c r="G582" s="69">
        <f t="shared" si="935"/>
        <v>6519</v>
      </c>
      <c r="H582" s="69">
        <f t="shared" si="935"/>
        <v>6361</v>
      </c>
      <c r="I582" s="69">
        <f t="shared" si="935"/>
        <v>6337</v>
      </c>
      <c r="J582" s="69">
        <f t="shared" si="935"/>
        <v>6337</v>
      </c>
      <c r="K582" s="69">
        <f t="shared" ref="K582:L582" si="946">K586+K592+K598+K604+K610</f>
        <v>6077</v>
      </c>
      <c r="L582" s="283">
        <f t="shared" si="946"/>
        <v>4813</v>
      </c>
      <c r="M582" s="283">
        <f t="shared" ref="M582:P582" si="947">M586+M592+M598+M604+M610</f>
        <v>1578</v>
      </c>
      <c r="N582" s="283">
        <f t="shared" si="947"/>
        <v>1567</v>
      </c>
      <c r="O582" s="283">
        <f t="shared" si="947"/>
        <v>1566</v>
      </c>
      <c r="P582" s="283">
        <f t="shared" si="947"/>
        <v>102</v>
      </c>
      <c r="Q582" s="117">
        <f t="shared" si="884"/>
        <v>4813</v>
      </c>
      <c r="R582" s="117">
        <f t="shared" si="885"/>
        <v>0</v>
      </c>
      <c r="S582" s="283">
        <f t="shared" si="935"/>
        <v>6370</v>
      </c>
      <c r="T582" s="283">
        <f t="shared" si="935"/>
        <v>7068</v>
      </c>
      <c r="U582" s="283">
        <f t="shared" si="935"/>
        <v>7068</v>
      </c>
    </row>
    <row r="583" spans="1:21" ht="28.5" customHeight="1">
      <c r="A583" s="34" t="s">
        <v>294</v>
      </c>
      <c r="B583" s="50" t="s">
        <v>295</v>
      </c>
      <c r="C583" s="12" t="s">
        <v>291</v>
      </c>
      <c r="D583" s="73">
        <f t="shared" ref="D583:U585" si="948">D584</f>
        <v>1305</v>
      </c>
      <c r="E583" s="73">
        <f t="shared" si="948"/>
        <v>1323</v>
      </c>
      <c r="F583" s="73">
        <f t="shared" si="948"/>
        <v>1333</v>
      </c>
      <c r="G583" s="73">
        <f t="shared" si="948"/>
        <v>1333</v>
      </c>
      <c r="H583" s="73">
        <f t="shared" si="948"/>
        <v>1333</v>
      </c>
      <c r="I583" s="73">
        <f t="shared" si="948"/>
        <v>1365</v>
      </c>
      <c r="J583" s="73">
        <f t="shared" si="948"/>
        <v>1365</v>
      </c>
      <c r="K583" s="73">
        <f t="shared" si="948"/>
        <v>1350</v>
      </c>
      <c r="L583" s="292">
        <f t="shared" si="948"/>
        <v>1110</v>
      </c>
      <c r="M583" s="292">
        <f t="shared" si="948"/>
        <v>360</v>
      </c>
      <c r="N583" s="292">
        <f t="shared" si="948"/>
        <v>365</v>
      </c>
      <c r="O583" s="292">
        <f t="shared" si="948"/>
        <v>365</v>
      </c>
      <c r="P583" s="292">
        <f t="shared" si="948"/>
        <v>20</v>
      </c>
      <c r="Q583" s="117">
        <f t="shared" si="884"/>
        <v>1110</v>
      </c>
      <c r="R583" s="117">
        <f t="shared" si="885"/>
        <v>0</v>
      </c>
      <c r="S583" s="292">
        <f t="shared" si="948"/>
        <v>1350</v>
      </c>
      <c r="T583" s="292">
        <f t="shared" si="948"/>
        <v>1350</v>
      </c>
      <c r="U583" s="292">
        <f t="shared" si="948"/>
        <v>1350</v>
      </c>
    </row>
    <row r="584" spans="1:21" ht="14.25">
      <c r="A584" s="34"/>
      <c r="B584" s="24" t="s">
        <v>153</v>
      </c>
      <c r="C584" s="12"/>
      <c r="D584" s="73">
        <f t="shared" si="948"/>
        <v>1305</v>
      </c>
      <c r="E584" s="73">
        <f t="shared" si="948"/>
        <v>1323</v>
      </c>
      <c r="F584" s="73">
        <f t="shared" si="948"/>
        <v>1333</v>
      </c>
      <c r="G584" s="73">
        <f t="shared" si="948"/>
        <v>1333</v>
      </c>
      <c r="H584" s="73">
        <f t="shared" si="948"/>
        <v>1333</v>
      </c>
      <c r="I584" s="73">
        <f t="shared" si="948"/>
        <v>1365</v>
      </c>
      <c r="J584" s="73">
        <f t="shared" si="948"/>
        <v>1365</v>
      </c>
      <c r="K584" s="73">
        <f t="shared" si="948"/>
        <v>1350</v>
      </c>
      <c r="L584" s="292">
        <f t="shared" si="948"/>
        <v>1110</v>
      </c>
      <c r="M584" s="292">
        <f t="shared" si="948"/>
        <v>360</v>
      </c>
      <c r="N584" s="292">
        <f t="shared" si="948"/>
        <v>365</v>
      </c>
      <c r="O584" s="292">
        <f t="shared" si="948"/>
        <v>365</v>
      </c>
      <c r="P584" s="292">
        <f t="shared" si="948"/>
        <v>20</v>
      </c>
      <c r="Q584" s="117">
        <f t="shared" si="884"/>
        <v>1110</v>
      </c>
      <c r="R584" s="117">
        <f t="shared" si="885"/>
        <v>0</v>
      </c>
      <c r="S584" s="292">
        <f t="shared" si="948"/>
        <v>1350</v>
      </c>
      <c r="T584" s="292">
        <f t="shared" si="948"/>
        <v>1350</v>
      </c>
      <c r="U584" s="292">
        <f t="shared" si="948"/>
        <v>1350</v>
      </c>
    </row>
    <row r="585" spans="1:21" ht="15">
      <c r="A585" s="34"/>
      <c r="B585" s="33" t="s">
        <v>154</v>
      </c>
      <c r="C585" s="12">
        <v>0.1</v>
      </c>
      <c r="D585" s="69">
        <f t="shared" si="948"/>
        <v>1305</v>
      </c>
      <c r="E585" s="69">
        <f t="shared" si="948"/>
        <v>1323</v>
      </c>
      <c r="F585" s="69">
        <f t="shared" si="948"/>
        <v>1333</v>
      </c>
      <c r="G585" s="69">
        <f t="shared" si="948"/>
        <v>1333</v>
      </c>
      <c r="H585" s="69">
        <f t="shared" si="948"/>
        <v>1333</v>
      </c>
      <c r="I585" s="69">
        <f t="shared" si="948"/>
        <v>1365</v>
      </c>
      <c r="J585" s="69">
        <f t="shared" si="948"/>
        <v>1365</v>
      </c>
      <c r="K585" s="69">
        <f t="shared" si="948"/>
        <v>1350</v>
      </c>
      <c r="L585" s="283">
        <f t="shared" si="948"/>
        <v>1110</v>
      </c>
      <c r="M585" s="283">
        <f t="shared" si="948"/>
        <v>360</v>
      </c>
      <c r="N585" s="283">
        <f t="shared" si="948"/>
        <v>365</v>
      </c>
      <c r="O585" s="283">
        <f t="shared" si="948"/>
        <v>365</v>
      </c>
      <c r="P585" s="283">
        <f t="shared" si="948"/>
        <v>20</v>
      </c>
      <c r="Q585" s="117">
        <f t="shared" si="884"/>
        <v>1110</v>
      </c>
      <c r="R585" s="117">
        <f t="shared" si="885"/>
        <v>0</v>
      </c>
      <c r="S585" s="283">
        <f t="shared" si="948"/>
        <v>1350</v>
      </c>
      <c r="T585" s="283">
        <f t="shared" si="948"/>
        <v>1350</v>
      </c>
      <c r="U585" s="283">
        <f t="shared" si="948"/>
        <v>1350</v>
      </c>
    </row>
    <row r="586" spans="1:21" ht="15">
      <c r="A586" s="34"/>
      <c r="B586" s="33" t="s">
        <v>292</v>
      </c>
      <c r="C586" s="12" t="s">
        <v>293</v>
      </c>
      <c r="D586" s="69">
        <f t="shared" ref="D586:U586" si="949">D587+D588</f>
        <v>1305</v>
      </c>
      <c r="E586" s="69">
        <f t="shared" ref="E586:F586" si="950">E587+E588</f>
        <v>1323</v>
      </c>
      <c r="F586" s="69">
        <f t="shared" si="950"/>
        <v>1333</v>
      </c>
      <c r="G586" s="69">
        <f t="shared" si="949"/>
        <v>1333</v>
      </c>
      <c r="H586" s="69">
        <f t="shared" si="949"/>
        <v>1333</v>
      </c>
      <c r="I586" s="69">
        <f t="shared" si="949"/>
        <v>1365</v>
      </c>
      <c r="J586" s="69">
        <f t="shared" si="949"/>
        <v>1365</v>
      </c>
      <c r="K586" s="69">
        <f t="shared" ref="K586:L586" si="951">K587+K588</f>
        <v>1350</v>
      </c>
      <c r="L586" s="283">
        <f t="shared" si="951"/>
        <v>1110</v>
      </c>
      <c r="M586" s="283">
        <f t="shared" ref="M586:P586" si="952">M587+M588</f>
        <v>360</v>
      </c>
      <c r="N586" s="283">
        <f t="shared" si="952"/>
        <v>365</v>
      </c>
      <c r="O586" s="283">
        <f t="shared" si="952"/>
        <v>365</v>
      </c>
      <c r="P586" s="283">
        <f t="shared" si="952"/>
        <v>20</v>
      </c>
      <c r="Q586" s="117">
        <f t="shared" si="884"/>
        <v>1110</v>
      </c>
      <c r="R586" s="117">
        <f t="shared" si="885"/>
        <v>0</v>
      </c>
      <c r="S586" s="283">
        <f t="shared" si="949"/>
        <v>1350</v>
      </c>
      <c r="T586" s="283">
        <f t="shared" si="949"/>
        <v>1350</v>
      </c>
      <c r="U586" s="283">
        <f t="shared" si="949"/>
        <v>1350</v>
      </c>
    </row>
    <row r="587" spans="1:21" ht="15">
      <c r="A587" s="34"/>
      <c r="B587" s="33" t="s">
        <v>155</v>
      </c>
      <c r="C587" s="12">
        <v>10</v>
      </c>
      <c r="D587" s="68">
        <v>1285</v>
      </c>
      <c r="E587" s="197">
        <v>1289</v>
      </c>
      <c r="F587" s="68">
        <v>1298</v>
      </c>
      <c r="G587" s="68">
        <v>1298</v>
      </c>
      <c r="H587" s="68">
        <v>1298</v>
      </c>
      <c r="I587" s="197">
        <v>1315</v>
      </c>
      <c r="J587" s="197">
        <v>1315</v>
      </c>
      <c r="K587" s="197">
        <v>1300</v>
      </c>
      <c r="L587" s="282">
        <f>1300-230</f>
        <v>1070</v>
      </c>
      <c r="M587" s="282">
        <v>350</v>
      </c>
      <c r="N587" s="282">
        <v>350</v>
      </c>
      <c r="O587" s="282">
        <f>350-20+20</f>
        <v>350</v>
      </c>
      <c r="P587" s="282">
        <v>20</v>
      </c>
      <c r="Q587" s="117">
        <f t="shared" si="884"/>
        <v>1070</v>
      </c>
      <c r="R587" s="117">
        <f t="shared" si="885"/>
        <v>0</v>
      </c>
      <c r="S587" s="282">
        <v>1300</v>
      </c>
      <c r="T587" s="282">
        <v>1300</v>
      </c>
      <c r="U587" s="282">
        <v>1300</v>
      </c>
    </row>
    <row r="588" spans="1:21" ht="15">
      <c r="A588" s="34"/>
      <c r="B588" s="33" t="s">
        <v>588</v>
      </c>
      <c r="C588" s="12">
        <v>20</v>
      </c>
      <c r="D588" s="68">
        <v>20</v>
      </c>
      <c r="E588" s="197">
        <v>34</v>
      </c>
      <c r="F588" s="68">
        <v>35</v>
      </c>
      <c r="G588" s="68">
        <v>35</v>
      </c>
      <c r="H588" s="68">
        <v>35</v>
      </c>
      <c r="I588" s="197">
        <v>50</v>
      </c>
      <c r="J588" s="197">
        <v>50</v>
      </c>
      <c r="K588" s="197">
        <v>50</v>
      </c>
      <c r="L588" s="282">
        <f>50-10</f>
        <v>40</v>
      </c>
      <c r="M588" s="282">
        <v>10</v>
      </c>
      <c r="N588" s="282">
        <v>15</v>
      </c>
      <c r="O588" s="282">
        <v>15</v>
      </c>
      <c r="P588" s="282">
        <v>0</v>
      </c>
      <c r="Q588" s="117">
        <f t="shared" si="884"/>
        <v>40</v>
      </c>
      <c r="R588" s="117">
        <f t="shared" si="885"/>
        <v>0</v>
      </c>
      <c r="S588" s="282">
        <v>50</v>
      </c>
      <c r="T588" s="282">
        <v>50</v>
      </c>
      <c r="U588" s="282">
        <v>50</v>
      </c>
    </row>
    <row r="589" spans="1:21" ht="30.75" customHeight="1">
      <c r="A589" s="34" t="s">
        <v>296</v>
      </c>
      <c r="B589" s="50" t="s">
        <v>297</v>
      </c>
      <c r="C589" s="12" t="s">
        <v>291</v>
      </c>
      <c r="D589" s="73">
        <f t="shared" ref="D589:U591" si="953">D590</f>
        <v>583</v>
      </c>
      <c r="E589" s="73">
        <f t="shared" si="953"/>
        <v>478</v>
      </c>
      <c r="F589" s="73">
        <f t="shared" si="953"/>
        <v>608</v>
      </c>
      <c r="G589" s="73">
        <f t="shared" si="953"/>
        <v>608</v>
      </c>
      <c r="H589" s="73">
        <f t="shared" si="953"/>
        <v>608</v>
      </c>
      <c r="I589" s="73">
        <f t="shared" si="953"/>
        <v>609</v>
      </c>
      <c r="J589" s="73">
        <f t="shared" si="953"/>
        <v>609</v>
      </c>
      <c r="K589" s="73">
        <f t="shared" si="953"/>
        <v>524</v>
      </c>
      <c r="L589" s="292">
        <f t="shared" si="953"/>
        <v>485</v>
      </c>
      <c r="M589" s="292">
        <f t="shared" si="953"/>
        <v>155</v>
      </c>
      <c r="N589" s="292">
        <f t="shared" si="953"/>
        <v>155</v>
      </c>
      <c r="O589" s="292">
        <f t="shared" si="953"/>
        <v>155</v>
      </c>
      <c r="P589" s="292">
        <f t="shared" si="953"/>
        <v>20</v>
      </c>
      <c r="Q589" s="117">
        <f t="shared" ref="Q589:Q652" si="954">M589+N589+O589+P589</f>
        <v>485</v>
      </c>
      <c r="R589" s="117">
        <f t="shared" ref="R589:R652" si="955">L589-Q589</f>
        <v>0</v>
      </c>
      <c r="S589" s="292">
        <f t="shared" si="953"/>
        <v>533</v>
      </c>
      <c r="T589" s="292">
        <f t="shared" si="953"/>
        <v>1231</v>
      </c>
      <c r="U589" s="292">
        <f t="shared" si="953"/>
        <v>1231</v>
      </c>
    </row>
    <row r="590" spans="1:21" ht="14.25">
      <c r="A590" s="34"/>
      <c r="B590" s="24" t="s">
        <v>153</v>
      </c>
      <c r="C590" s="12"/>
      <c r="D590" s="69">
        <f t="shared" si="953"/>
        <v>583</v>
      </c>
      <c r="E590" s="69">
        <f t="shared" si="953"/>
        <v>478</v>
      </c>
      <c r="F590" s="69">
        <f t="shared" si="953"/>
        <v>608</v>
      </c>
      <c r="G590" s="69">
        <f t="shared" si="953"/>
        <v>608</v>
      </c>
      <c r="H590" s="69">
        <f t="shared" si="953"/>
        <v>608</v>
      </c>
      <c r="I590" s="69">
        <f t="shared" si="953"/>
        <v>609</v>
      </c>
      <c r="J590" s="69">
        <f t="shared" si="953"/>
        <v>609</v>
      </c>
      <c r="K590" s="69">
        <f t="shared" si="953"/>
        <v>524</v>
      </c>
      <c r="L590" s="283">
        <f t="shared" si="953"/>
        <v>485</v>
      </c>
      <c r="M590" s="283">
        <f t="shared" si="953"/>
        <v>155</v>
      </c>
      <c r="N590" s="283">
        <f t="shared" si="953"/>
        <v>155</v>
      </c>
      <c r="O590" s="283">
        <f t="shared" si="953"/>
        <v>155</v>
      </c>
      <c r="P590" s="283">
        <f t="shared" si="953"/>
        <v>20</v>
      </c>
      <c r="Q590" s="117">
        <f t="shared" si="954"/>
        <v>485</v>
      </c>
      <c r="R590" s="117">
        <f t="shared" si="955"/>
        <v>0</v>
      </c>
      <c r="S590" s="283">
        <f t="shared" si="953"/>
        <v>533</v>
      </c>
      <c r="T590" s="283">
        <f t="shared" si="953"/>
        <v>1231</v>
      </c>
      <c r="U590" s="283">
        <f t="shared" si="953"/>
        <v>1231</v>
      </c>
    </row>
    <row r="591" spans="1:21" ht="15">
      <c r="A591" s="34"/>
      <c r="B591" s="33" t="s">
        <v>154</v>
      </c>
      <c r="C591" s="12"/>
      <c r="D591" s="69">
        <f t="shared" si="953"/>
        <v>583</v>
      </c>
      <c r="E591" s="69">
        <f t="shared" si="953"/>
        <v>478</v>
      </c>
      <c r="F591" s="69">
        <f t="shared" si="953"/>
        <v>608</v>
      </c>
      <c r="G591" s="69">
        <f t="shared" si="953"/>
        <v>608</v>
      </c>
      <c r="H591" s="69">
        <f t="shared" si="953"/>
        <v>608</v>
      </c>
      <c r="I591" s="69">
        <f t="shared" si="953"/>
        <v>609</v>
      </c>
      <c r="J591" s="69">
        <f t="shared" si="953"/>
        <v>609</v>
      </c>
      <c r="K591" s="69">
        <f t="shared" si="953"/>
        <v>524</v>
      </c>
      <c r="L591" s="283">
        <f t="shared" si="953"/>
        <v>485</v>
      </c>
      <c r="M591" s="283">
        <f t="shared" si="953"/>
        <v>155</v>
      </c>
      <c r="N591" s="283">
        <f t="shared" si="953"/>
        <v>155</v>
      </c>
      <c r="O591" s="283">
        <f t="shared" si="953"/>
        <v>155</v>
      </c>
      <c r="P591" s="283">
        <f t="shared" si="953"/>
        <v>20</v>
      </c>
      <c r="Q591" s="117">
        <f t="shared" si="954"/>
        <v>485</v>
      </c>
      <c r="R591" s="117">
        <f t="shared" si="955"/>
        <v>0</v>
      </c>
      <c r="S591" s="283">
        <f t="shared" si="953"/>
        <v>533</v>
      </c>
      <c r="T591" s="283">
        <f t="shared" si="953"/>
        <v>1231</v>
      </c>
      <c r="U591" s="283">
        <f t="shared" si="953"/>
        <v>1231</v>
      </c>
    </row>
    <row r="592" spans="1:21" ht="15">
      <c r="A592" s="34"/>
      <c r="B592" s="33" t="s">
        <v>292</v>
      </c>
      <c r="C592" s="12" t="s">
        <v>293</v>
      </c>
      <c r="D592" s="69">
        <f t="shared" ref="D592:U592" si="956">D593+D594</f>
        <v>583</v>
      </c>
      <c r="E592" s="69">
        <f t="shared" ref="E592:F592" si="957">E593+E594</f>
        <v>478</v>
      </c>
      <c r="F592" s="69">
        <f t="shared" si="957"/>
        <v>608</v>
      </c>
      <c r="G592" s="69">
        <f t="shared" si="956"/>
        <v>608</v>
      </c>
      <c r="H592" s="69">
        <f t="shared" si="956"/>
        <v>608</v>
      </c>
      <c r="I592" s="69">
        <f t="shared" si="956"/>
        <v>609</v>
      </c>
      <c r="J592" s="69">
        <f t="shared" si="956"/>
        <v>609</v>
      </c>
      <c r="K592" s="69">
        <f t="shared" ref="K592" si="958">K593+K594</f>
        <v>524</v>
      </c>
      <c r="L592" s="283">
        <f t="shared" ref="L592:S592" si="959">L593+L594</f>
        <v>485</v>
      </c>
      <c r="M592" s="283">
        <f t="shared" si="959"/>
        <v>155</v>
      </c>
      <c r="N592" s="283">
        <f t="shared" si="959"/>
        <v>155</v>
      </c>
      <c r="O592" s="283">
        <f t="shared" si="959"/>
        <v>155</v>
      </c>
      <c r="P592" s="283">
        <f t="shared" si="959"/>
        <v>20</v>
      </c>
      <c r="Q592" s="117">
        <f t="shared" si="954"/>
        <v>485</v>
      </c>
      <c r="R592" s="117">
        <f t="shared" si="955"/>
        <v>0</v>
      </c>
      <c r="S592" s="283">
        <f t="shared" si="959"/>
        <v>533</v>
      </c>
      <c r="T592" s="283">
        <f t="shared" si="956"/>
        <v>1231</v>
      </c>
      <c r="U592" s="283">
        <f t="shared" si="956"/>
        <v>1231</v>
      </c>
    </row>
    <row r="593" spans="1:21" ht="15">
      <c r="A593" s="34"/>
      <c r="B593" s="33" t="s">
        <v>155</v>
      </c>
      <c r="C593" s="12">
        <v>10</v>
      </c>
      <c r="D593" s="68">
        <v>523</v>
      </c>
      <c r="E593" s="197">
        <v>398</v>
      </c>
      <c r="F593" s="68">
        <v>528</v>
      </c>
      <c r="G593" s="68">
        <f>478+100</f>
        <v>578</v>
      </c>
      <c r="H593" s="68">
        <v>528</v>
      </c>
      <c r="I593" s="197">
        <v>549</v>
      </c>
      <c r="J593" s="197">
        <v>549</v>
      </c>
      <c r="K593" s="197">
        <v>504</v>
      </c>
      <c r="L593" s="282">
        <f>504-34</f>
        <v>470</v>
      </c>
      <c r="M593" s="282">
        <v>150</v>
      </c>
      <c r="N593" s="282">
        <v>150</v>
      </c>
      <c r="O593" s="282">
        <f>150</f>
        <v>150</v>
      </c>
      <c r="P593" s="282">
        <v>20</v>
      </c>
      <c r="Q593" s="117">
        <f t="shared" si="954"/>
        <v>470</v>
      </c>
      <c r="R593" s="117">
        <f t="shared" si="955"/>
        <v>0</v>
      </c>
      <c r="S593" s="282">
        <v>513</v>
      </c>
      <c r="T593" s="282">
        <v>1111</v>
      </c>
      <c r="U593" s="282">
        <v>1111</v>
      </c>
    </row>
    <row r="594" spans="1:21" ht="15">
      <c r="A594" s="34"/>
      <c r="B594" s="33" t="s">
        <v>588</v>
      </c>
      <c r="C594" s="12">
        <v>20</v>
      </c>
      <c r="D594" s="68">
        <v>60</v>
      </c>
      <c r="E594" s="197">
        <v>80</v>
      </c>
      <c r="F594" s="68">
        <v>80</v>
      </c>
      <c r="G594" s="68">
        <v>30</v>
      </c>
      <c r="H594" s="68">
        <v>80</v>
      </c>
      <c r="I594" s="197">
        <v>60</v>
      </c>
      <c r="J594" s="197">
        <v>60</v>
      </c>
      <c r="K594" s="197">
        <v>20</v>
      </c>
      <c r="L594" s="282">
        <f>20-5</f>
        <v>15</v>
      </c>
      <c r="M594" s="282">
        <v>5</v>
      </c>
      <c r="N594" s="282">
        <v>5</v>
      </c>
      <c r="O594" s="282">
        <v>5</v>
      </c>
      <c r="P594" s="282">
        <v>0</v>
      </c>
      <c r="Q594" s="117">
        <f t="shared" si="954"/>
        <v>15</v>
      </c>
      <c r="R594" s="117">
        <f t="shared" si="955"/>
        <v>0</v>
      </c>
      <c r="S594" s="282">
        <v>20</v>
      </c>
      <c r="T594" s="282">
        <v>120</v>
      </c>
      <c r="U594" s="282">
        <v>120</v>
      </c>
    </row>
    <row r="595" spans="1:21" ht="26.25" customHeight="1">
      <c r="A595" s="34" t="s">
        <v>298</v>
      </c>
      <c r="B595" s="31" t="s">
        <v>299</v>
      </c>
      <c r="C595" s="12" t="s">
        <v>291</v>
      </c>
      <c r="D595" s="73">
        <f t="shared" ref="D595:U597" si="960">D596</f>
        <v>2300</v>
      </c>
      <c r="E595" s="73">
        <f t="shared" si="960"/>
        <v>2136</v>
      </c>
      <c r="F595" s="73">
        <f t="shared" si="960"/>
        <v>2535</v>
      </c>
      <c r="G595" s="73">
        <f t="shared" si="960"/>
        <v>2625</v>
      </c>
      <c r="H595" s="73">
        <f t="shared" si="960"/>
        <v>2535</v>
      </c>
      <c r="I595" s="73">
        <f t="shared" si="960"/>
        <v>2450</v>
      </c>
      <c r="J595" s="73">
        <f t="shared" si="960"/>
        <v>2450</v>
      </c>
      <c r="K595" s="73">
        <f t="shared" si="960"/>
        <v>2380</v>
      </c>
      <c r="L595" s="292">
        <f t="shared" si="960"/>
        <v>1807</v>
      </c>
      <c r="M595" s="292">
        <f t="shared" si="960"/>
        <v>595</v>
      </c>
      <c r="N595" s="292">
        <f t="shared" si="960"/>
        <v>595</v>
      </c>
      <c r="O595" s="292">
        <f t="shared" si="960"/>
        <v>595</v>
      </c>
      <c r="P595" s="292">
        <f t="shared" si="960"/>
        <v>22</v>
      </c>
      <c r="Q595" s="117">
        <f t="shared" si="954"/>
        <v>1807</v>
      </c>
      <c r="R595" s="117">
        <f t="shared" si="955"/>
        <v>0</v>
      </c>
      <c r="S595" s="292">
        <f t="shared" si="960"/>
        <v>2625</v>
      </c>
      <c r="T595" s="292">
        <f t="shared" si="960"/>
        <v>2625</v>
      </c>
      <c r="U595" s="292">
        <f t="shared" si="960"/>
        <v>2625</v>
      </c>
    </row>
    <row r="596" spans="1:21" ht="14.25">
      <c r="A596" s="34"/>
      <c r="B596" s="24" t="s">
        <v>153</v>
      </c>
      <c r="C596" s="12"/>
      <c r="D596" s="73">
        <f t="shared" si="960"/>
        <v>2300</v>
      </c>
      <c r="E596" s="73">
        <f t="shared" si="960"/>
        <v>2136</v>
      </c>
      <c r="F596" s="73">
        <f t="shared" si="960"/>
        <v>2535</v>
      </c>
      <c r="G596" s="73">
        <f t="shared" si="960"/>
        <v>2625</v>
      </c>
      <c r="H596" s="73">
        <f t="shared" si="960"/>
        <v>2535</v>
      </c>
      <c r="I596" s="73">
        <f t="shared" si="960"/>
        <v>2450</v>
      </c>
      <c r="J596" s="73">
        <f t="shared" si="960"/>
        <v>2450</v>
      </c>
      <c r="K596" s="73">
        <f t="shared" si="960"/>
        <v>2380</v>
      </c>
      <c r="L596" s="292">
        <f t="shared" si="960"/>
        <v>1807</v>
      </c>
      <c r="M596" s="292">
        <f t="shared" si="960"/>
        <v>595</v>
      </c>
      <c r="N596" s="292">
        <f t="shared" si="960"/>
        <v>595</v>
      </c>
      <c r="O596" s="292">
        <f t="shared" si="960"/>
        <v>595</v>
      </c>
      <c r="P596" s="292">
        <f t="shared" si="960"/>
        <v>22</v>
      </c>
      <c r="Q596" s="117">
        <f t="shared" si="954"/>
        <v>1807</v>
      </c>
      <c r="R596" s="117">
        <f t="shared" si="955"/>
        <v>0</v>
      </c>
      <c r="S596" s="292">
        <f t="shared" si="960"/>
        <v>2625</v>
      </c>
      <c r="T596" s="292">
        <f t="shared" si="960"/>
        <v>2625</v>
      </c>
      <c r="U596" s="292">
        <f t="shared" si="960"/>
        <v>2625</v>
      </c>
    </row>
    <row r="597" spans="1:21" ht="15">
      <c r="A597" s="34"/>
      <c r="B597" s="33" t="s">
        <v>154</v>
      </c>
      <c r="C597" s="12">
        <v>1</v>
      </c>
      <c r="D597" s="69">
        <f t="shared" si="960"/>
        <v>2300</v>
      </c>
      <c r="E597" s="69">
        <f t="shared" si="960"/>
        <v>2136</v>
      </c>
      <c r="F597" s="69">
        <f t="shared" si="960"/>
        <v>2535</v>
      </c>
      <c r="G597" s="69">
        <f t="shared" si="960"/>
        <v>2625</v>
      </c>
      <c r="H597" s="69">
        <f t="shared" si="960"/>
        <v>2535</v>
      </c>
      <c r="I597" s="69">
        <f t="shared" si="960"/>
        <v>2450</v>
      </c>
      <c r="J597" s="69">
        <f t="shared" si="960"/>
        <v>2450</v>
      </c>
      <c r="K597" s="69">
        <f t="shared" si="960"/>
        <v>2380</v>
      </c>
      <c r="L597" s="283">
        <f t="shared" si="960"/>
        <v>1807</v>
      </c>
      <c r="M597" s="283">
        <f t="shared" si="960"/>
        <v>595</v>
      </c>
      <c r="N597" s="283">
        <f t="shared" si="960"/>
        <v>595</v>
      </c>
      <c r="O597" s="283">
        <f t="shared" si="960"/>
        <v>595</v>
      </c>
      <c r="P597" s="283">
        <f t="shared" si="960"/>
        <v>22</v>
      </c>
      <c r="Q597" s="117">
        <f t="shared" si="954"/>
        <v>1807</v>
      </c>
      <c r="R597" s="117">
        <f t="shared" si="955"/>
        <v>0</v>
      </c>
      <c r="S597" s="283">
        <f t="shared" si="960"/>
        <v>2625</v>
      </c>
      <c r="T597" s="283">
        <f t="shared" si="960"/>
        <v>2625</v>
      </c>
      <c r="U597" s="283">
        <f t="shared" si="960"/>
        <v>2625</v>
      </c>
    </row>
    <row r="598" spans="1:21" ht="15">
      <c r="A598" s="34"/>
      <c r="B598" s="33" t="s">
        <v>292</v>
      </c>
      <c r="C598" s="12" t="s">
        <v>293</v>
      </c>
      <c r="D598" s="69">
        <f t="shared" ref="D598:U598" si="961">D599+D600</f>
        <v>2300</v>
      </c>
      <c r="E598" s="69">
        <f t="shared" ref="E598:F598" si="962">E599+E600</f>
        <v>2136</v>
      </c>
      <c r="F598" s="69">
        <f t="shared" si="962"/>
        <v>2535</v>
      </c>
      <c r="G598" s="69">
        <f t="shared" si="961"/>
        <v>2625</v>
      </c>
      <c r="H598" s="69">
        <f t="shared" si="961"/>
        <v>2535</v>
      </c>
      <c r="I598" s="69">
        <f t="shared" si="961"/>
        <v>2450</v>
      </c>
      <c r="J598" s="69">
        <f t="shared" si="961"/>
        <v>2450</v>
      </c>
      <c r="K598" s="69">
        <f t="shared" ref="K598:L598" si="963">K599+K600</f>
        <v>2380</v>
      </c>
      <c r="L598" s="283">
        <f t="shared" si="963"/>
        <v>1807</v>
      </c>
      <c r="M598" s="283">
        <f t="shared" ref="M598:P598" si="964">M599+M600</f>
        <v>595</v>
      </c>
      <c r="N598" s="283">
        <f t="shared" si="964"/>
        <v>595</v>
      </c>
      <c r="O598" s="283">
        <f t="shared" si="964"/>
        <v>595</v>
      </c>
      <c r="P598" s="283">
        <f t="shared" si="964"/>
        <v>22</v>
      </c>
      <c r="Q598" s="117">
        <f t="shared" si="954"/>
        <v>1807</v>
      </c>
      <c r="R598" s="117">
        <f t="shared" si="955"/>
        <v>0</v>
      </c>
      <c r="S598" s="283">
        <f t="shared" si="961"/>
        <v>2625</v>
      </c>
      <c r="T598" s="283">
        <f t="shared" si="961"/>
        <v>2625</v>
      </c>
      <c r="U598" s="283">
        <f t="shared" si="961"/>
        <v>2625</v>
      </c>
    </row>
    <row r="599" spans="1:21" ht="15">
      <c r="A599" s="34"/>
      <c r="B599" s="33" t="s">
        <v>155</v>
      </c>
      <c r="C599" s="12">
        <v>10</v>
      </c>
      <c r="D599" s="68">
        <v>2133</v>
      </c>
      <c r="E599" s="197">
        <v>1926</v>
      </c>
      <c r="F599" s="68">
        <v>2325</v>
      </c>
      <c r="G599" s="68">
        <v>2455</v>
      </c>
      <c r="H599" s="68">
        <v>2325</v>
      </c>
      <c r="I599" s="197">
        <v>2270</v>
      </c>
      <c r="J599" s="197">
        <v>2270</v>
      </c>
      <c r="K599" s="197">
        <v>2200</v>
      </c>
      <c r="L599" s="282">
        <f>2200-528</f>
        <v>1672</v>
      </c>
      <c r="M599" s="282">
        <v>550</v>
      </c>
      <c r="N599" s="282">
        <v>550</v>
      </c>
      <c r="O599" s="282">
        <f>550</f>
        <v>550</v>
      </c>
      <c r="P599" s="282">
        <v>22</v>
      </c>
      <c r="Q599" s="117">
        <f t="shared" si="954"/>
        <v>1672</v>
      </c>
      <c r="R599" s="117">
        <f t="shared" si="955"/>
        <v>0</v>
      </c>
      <c r="S599" s="282">
        <v>2455</v>
      </c>
      <c r="T599" s="282">
        <v>2455</v>
      </c>
      <c r="U599" s="282">
        <v>2455</v>
      </c>
    </row>
    <row r="600" spans="1:21" ht="15">
      <c r="A600" s="34"/>
      <c r="B600" s="33" t="s">
        <v>588</v>
      </c>
      <c r="C600" s="12">
        <v>20</v>
      </c>
      <c r="D600" s="68">
        <v>167</v>
      </c>
      <c r="E600" s="197">
        <v>210</v>
      </c>
      <c r="F600" s="68">
        <v>210</v>
      </c>
      <c r="G600" s="68">
        <v>170</v>
      </c>
      <c r="H600" s="68">
        <v>210</v>
      </c>
      <c r="I600" s="197">
        <v>180</v>
      </c>
      <c r="J600" s="197">
        <v>180</v>
      </c>
      <c r="K600" s="197">
        <v>180</v>
      </c>
      <c r="L600" s="282">
        <f>180-45</f>
        <v>135</v>
      </c>
      <c r="M600" s="282">
        <v>45</v>
      </c>
      <c r="N600" s="282">
        <v>45</v>
      </c>
      <c r="O600" s="282">
        <v>45</v>
      </c>
      <c r="P600" s="282">
        <v>0</v>
      </c>
      <c r="Q600" s="117">
        <f t="shared" si="954"/>
        <v>135</v>
      </c>
      <c r="R600" s="117">
        <f t="shared" si="955"/>
        <v>0</v>
      </c>
      <c r="S600" s="282">
        <v>170</v>
      </c>
      <c r="T600" s="282">
        <v>170</v>
      </c>
      <c r="U600" s="282">
        <v>170</v>
      </c>
    </row>
    <row r="601" spans="1:21" ht="27.75" customHeight="1">
      <c r="A601" s="34" t="s">
        <v>300</v>
      </c>
      <c r="B601" s="50" t="s">
        <v>301</v>
      </c>
      <c r="C601" s="12" t="s">
        <v>291</v>
      </c>
      <c r="D601" s="73">
        <f t="shared" ref="D601:U603" si="965">D602</f>
        <v>872</v>
      </c>
      <c r="E601" s="73">
        <f t="shared" si="965"/>
        <v>876</v>
      </c>
      <c r="F601" s="73">
        <f t="shared" si="965"/>
        <v>960</v>
      </c>
      <c r="G601" s="73">
        <f t="shared" si="965"/>
        <v>960</v>
      </c>
      <c r="H601" s="73">
        <f t="shared" si="965"/>
        <v>960</v>
      </c>
      <c r="I601" s="73">
        <f t="shared" si="965"/>
        <v>915</v>
      </c>
      <c r="J601" s="73">
        <f t="shared" si="965"/>
        <v>915</v>
      </c>
      <c r="K601" s="73">
        <f t="shared" si="965"/>
        <v>900</v>
      </c>
      <c r="L601" s="292">
        <f t="shared" si="965"/>
        <v>695</v>
      </c>
      <c r="M601" s="292">
        <f t="shared" si="965"/>
        <v>226</v>
      </c>
      <c r="N601" s="292">
        <f t="shared" si="965"/>
        <v>225</v>
      </c>
      <c r="O601" s="292">
        <f t="shared" si="965"/>
        <v>224</v>
      </c>
      <c r="P601" s="292">
        <f t="shared" si="965"/>
        <v>20</v>
      </c>
      <c r="Q601" s="117">
        <f t="shared" si="954"/>
        <v>695</v>
      </c>
      <c r="R601" s="117">
        <f t="shared" si="955"/>
        <v>0</v>
      </c>
      <c r="S601" s="292">
        <f t="shared" si="965"/>
        <v>914</v>
      </c>
      <c r="T601" s="292">
        <f t="shared" si="965"/>
        <v>914</v>
      </c>
      <c r="U601" s="292">
        <f t="shared" si="965"/>
        <v>914</v>
      </c>
    </row>
    <row r="602" spans="1:21" ht="14.25">
      <c r="A602" s="34"/>
      <c r="B602" s="24" t="s">
        <v>153</v>
      </c>
      <c r="C602" s="12"/>
      <c r="D602" s="73">
        <f t="shared" si="965"/>
        <v>872</v>
      </c>
      <c r="E602" s="73">
        <f t="shared" si="965"/>
        <v>876</v>
      </c>
      <c r="F602" s="73">
        <f t="shared" si="965"/>
        <v>960</v>
      </c>
      <c r="G602" s="73">
        <f t="shared" si="965"/>
        <v>960</v>
      </c>
      <c r="H602" s="73">
        <f t="shared" si="965"/>
        <v>960</v>
      </c>
      <c r="I602" s="73">
        <f t="shared" si="965"/>
        <v>915</v>
      </c>
      <c r="J602" s="73">
        <f t="shared" si="965"/>
        <v>915</v>
      </c>
      <c r="K602" s="73">
        <f t="shared" si="965"/>
        <v>900</v>
      </c>
      <c r="L602" s="292">
        <f t="shared" si="965"/>
        <v>695</v>
      </c>
      <c r="M602" s="292">
        <f t="shared" si="965"/>
        <v>226</v>
      </c>
      <c r="N602" s="292">
        <f t="shared" si="965"/>
        <v>225</v>
      </c>
      <c r="O602" s="292">
        <f t="shared" si="965"/>
        <v>224</v>
      </c>
      <c r="P602" s="292">
        <f t="shared" si="965"/>
        <v>20</v>
      </c>
      <c r="Q602" s="117">
        <f t="shared" si="954"/>
        <v>695</v>
      </c>
      <c r="R602" s="117">
        <f t="shared" si="955"/>
        <v>0</v>
      </c>
      <c r="S602" s="292">
        <f t="shared" si="965"/>
        <v>914</v>
      </c>
      <c r="T602" s="292">
        <f t="shared" si="965"/>
        <v>914</v>
      </c>
      <c r="U602" s="292">
        <f t="shared" si="965"/>
        <v>914</v>
      </c>
    </row>
    <row r="603" spans="1:21" ht="15">
      <c r="A603" s="34"/>
      <c r="B603" s="33" t="s">
        <v>154</v>
      </c>
      <c r="C603" s="12">
        <v>1</v>
      </c>
      <c r="D603" s="69">
        <f t="shared" si="965"/>
        <v>872</v>
      </c>
      <c r="E603" s="69">
        <f t="shared" si="965"/>
        <v>876</v>
      </c>
      <c r="F603" s="69">
        <f t="shared" si="965"/>
        <v>960</v>
      </c>
      <c r="G603" s="69">
        <f t="shared" si="965"/>
        <v>960</v>
      </c>
      <c r="H603" s="69">
        <f t="shared" si="965"/>
        <v>960</v>
      </c>
      <c r="I603" s="69">
        <f t="shared" si="965"/>
        <v>915</v>
      </c>
      <c r="J603" s="69">
        <f t="shared" si="965"/>
        <v>915</v>
      </c>
      <c r="K603" s="69">
        <f t="shared" si="965"/>
        <v>900</v>
      </c>
      <c r="L603" s="283">
        <f t="shared" si="965"/>
        <v>695</v>
      </c>
      <c r="M603" s="283">
        <f t="shared" si="965"/>
        <v>226</v>
      </c>
      <c r="N603" s="283">
        <f t="shared" si="965"/>
        <v>225</v>
      </c>
      <c r="O603" s="283">
        <f t="shared" si="965"/>
        <v>224</v>
      </c>
      <c r="P603" s="283">
        <f t="shared" si="965"/>
        <v>20</v>
      </c>
      <c r="Q603" s="117">
        <f t="shared" si="954"/>
        <v>695</v>
      </c>
      <c r="R603" s="117">
        <f t="shared" si="955"/>
        <v>0</v>
      </c>
      <c r="S603" s="283">
        <f t="shared" si="965"/>
        <v>914</v>
      </c>
      <c r="T603" s="283">
        <f t="shared" si="965"/>
        <v>914</v>
      </c>
      <c r="U603" s="283">
        <f t="shared" si="965"/>
        <v>914</v>
      </c>
    </row>
    <row r="604" spans="1:21" ht="15">
      <c r="A604" s="34"/>
      <c r="B604" s="33" t="s">
        <v>292</v>
      </c>
      <c r="C604" s="12" t="s">
        <v>293</v>
      </c>
      <c r="D604" s="69">
        <f t="shared" ref="D604:U604" si="966">D605+D606</f>
        <v>872</v>
      </c>
      <c r="E604" s="69">
        <f t="shared" ref="E604:F604" si="967">E605+E606</f>
        <v>876</v>
      </c>
      <c r="F604" s="69">
        <f t="shared" si="967"/>
        <v>960</v>
      </c>
      <c r="G604" s="69">
        <f t="shared" si="966"/>
        <v>960</v>
      </c>
      <c r="H604" s="69">
        <f t="shared" si="966"/>
        <v>960</v>
      </c>
      <c r="I604" s="69">
        <f t="shared" si="966"/>
        <v>915</v>
      </c>
      <c r="J604" s="69">
        <f t="shared" si="966"/>
        <v>915</v>
      </c>
      <c r="K604" s="69">
        <f t="shared" ref="K604:L604" si="968">K605+K606</f>
        <v>900</v>
      </c>
      <c r="L604" s="283">
        <f t="shared" si="968"/>
        <v>695</v>
      </c>
      <c r="M604" s="283">
        <f t="shared" ref="M604:P604" si="969">M605+M606</f>
        <v>226</v>
      </c>
      <c r="N604" s="283">
        <f t="shared" si="969"/>
        <v>225</v>
      </c>
      <c r="O604" s="283">
        <f t="shared" si="969"/>
        <v>224</v>
      </c>
      <c r="P604" s="283">
        <f t="shared" si="969"/>
        <v>20</v>
      </c>
      <c r="Q604" s="117">
        <f t="shared" si="954"/>
        <v>695</v>
      </c>
      <c r="R604" s="117">
        <f t="shared" si="955"/>
        <v>0</v>
      </c>
      <c r="S604" s="283">
        <f t="shared" si="966"/>
        <v>914</v>
      </c>
      <c r="T604" s="283">
        <f t="shared" si="966"/>
        <v>914</v>
      </c>
      <c r="U604" s="283">
        <f t="shared" si="966"/>
        <v>914</v>
      </c>
    </row>
    <row r="605" spans="1:21" ht="15">
      <c r="A605" s="34"/>
      <c r="B605" s="33" t="s">
        <v>155</v>
      </c>
      <c r="C605" s="12">
        <v>10</v>
      </c>
      <c r="D605" s="68">
        <v>862</v>
      </c>
      <c r="E605" s="197">
        <v>861</v>
      </c>
      <c r="F605" s="68">
        <v>945</v>
      </c>
      <c r="G605" s="68">
        <v>945</v>
      </c>
      <c r="H605" s="68">
        <v>945</v>
      </c>
      <c r="I605" s="197">
        <v>897</v>
      </c>
      <c r="J605" s="197">
        <v>897</v>
      </c>
      <c r="K605" s="197">
        <v>882</v>
      </c>
      <c r="L605" s="282">
        <f>882-200</f>
        <v>682</v>
      </c>
      <c r="M605" s="282">
        <v>222</v>
      </c>
      <c r="N605" s="282">
        <v>220</v>
      </c>
      <c r="O605" s="282">
        <f>220</f>
        <v>220</v>
      </c>
      <c r="P605" s="282">
        <v>20</v>
      </c>
      <c r="Q605" s="117">
        <f t="shared" si="954"/>
        <v>682</v>
      </c>
      <c r="R605" s="117">
        <f t="shared" si="955"/>
        <v>0</v>
      </c>
      <c r="S605" s="282">
        <v>896</v>
      </c>
      <c r="T605" s="282">
        <v>896</v>
      </c>
      <c r="U605" s="282">
        <v>896</v>
      </c>
    </row>
    <row r="606" spans="1:21" ht="15">
      <c r="A606" s="34"/>
      <c r="B606" s="33" t="s">
        <v>588</v>
      </c>
      <c r="C606" s="12">
        <v>20</v>
      </c>
      <c r="D606" s="68">
        <v>10</v>
      </c>
      <c r="E606" s="197">
        <v>15</v>
      </c>
      <c r="F606" s="68">
        <v>15</v>
      </c>
      <c r="G606" s="68">
        <v>15</v>
      </c>
      <c r="H606" s="68">
        <v>15</v>
      </c>
      <c r="I606" s="197">
        <v>18</v>
      </c>
      <c r="J606" s="197">
        <v>18</v>
      </c>
      <c r="K606" s="197">
        <v>18</v>
      </c>
      <c r="L606" s="282">
        <f>18-5</f>
        <v>13</v>
      </c>
      <c r="M606" s="282">
        <v>4</v>
      </c>
      <c r="N606" s="282">
        <v>5</v>
      </c>
      <c r="O606" s="282">
        <v>4</v>
      </c>
      <c r="P606" s="282">
        <v>0</v>
      </c>
      <c r="Q606" s="117">
        <f t="shared" si="954"/>
        <v>13</v>
      </c>
      <c r="R606" s="117">
        <f t="shared" si="955"/>
        <v>0</v>
      </c>
      <c r="S606" s="282">
        <v>18</v>
      </c>
      <c r="T606" s="282">
        <v>18</v>
      </c>
      <c r="U606" s="282">
        <v>18</v>
      </c>
    </row>
    <row r="607" spans="1:21" ht="28.5" customHeight="1">
      <c r="A607" s="34" t="s">
        <v>302</v>
      </c>
      <c r="B607" s="50" t="s">
        <v>303</v>
      </c>
      <c r="C607" s="12" t="s">
        <v>291</v>
      </c>
      <c r="D607" s="73">
        <f t="shared" ref="D607:U609" si="970">D608</f>
        <v>772</v>
      </c>
      <c r="E607" s="73">
        <f t="shared" si="970"/>
        <v>800</v>
      </c>
      <c r="F607" s="73">
        <f t="shared" si="970"/>
        <v>925</v>
      </c>
      <c r="G607" s="73">
        <f t="shared" si="970"/>
        <v>993</v>
      </c>
      <c r="H607" s="73">
        <f t="shared" si="970"/>
        <v>925</v>
      </c>
      <c r="I607" s="73">
        <f t="shared" si="970"/>
        <v>998</v>
      </c>
      <c r="J607" s="73">
        <f t="shared" si="970"/>
        <v>998</v>
      </c>
      <c r="K607" s="73">
        <f t="shared" si="970"/>
        <v>923</v>
      </c>
      <c r="L607" s="292">
        <f t="shared" si="970"/>
        <v>716</v>
      </c>
      <c r="M607" s="292">
        <f t="shared" si="970"/>
        <v>242</v>
      </c>
      <c r="N607" s="292">
        <f t="shared" si="970"/>
        <v>227</v>
      </c>
      <c r="O607" s="292">
        <f t="shared" si="970"/>
        <v>227</v>
      </c>
      <c r="P607" s="292">
        <f t="shared" si="970"/>
        <v>20</v>
      </c>
      <c r="Q607" s="117">
        <f t="shared" si="954"/>
        <v>716</v>
      </c>
      <c r="R607" s="117">
        <f t="shared" si="955"/>
        <v>0</v>
      </c>
      <c r="S607" s="292">
        <f t="shared" si="970"/>
        <v>948</v>
      </c>
      <c r="T607" s="292">
        <f t="shared" si="970"/>
        <v>948</v>
      </c>
      <c r="U607" s="292">
        <f t="shared" si="970"/>
        <v>948</v>
      </c>
    </row>
    <row r="608" spans="1:21" ht="14.25">
      <c r="A608" s="34"/>
      <c r="B608" s="24" t="s">
        <v>153</v>
      </c>
      <c r="C608" s="12"/>
      <c r="D608" s="73">
        <f t="shared" si="970"/>
        <v>772</v>
      </c>
      <c r="E608" s="73">
        <f t="shared" si="970"/>
        <v>800</v>
      </c>
      <c r="F608" s="73">
        <f t="shared" si="970"/>
        <v>925</v>
      </c>
      <c r="G608" s="73">
        <f t="shared" si="970"/>
        <v>993</v>
      </c>
      <c r="H608" s="73">
        <f t="shared" si="970"/>
        <v>925</v>
      </c>
      <c r="I608" s="73">
        <f t="shared" si="970"/>
        <v>998</v>
      </c>
      <c r="J608" s="73">
        <f t="shared" si="970"/>
        <v>998</v>
      </c>
      <c r="K608" s="73">
        <f t="shared" si="970"/>
        <v>923</v>
      </c>
      <c r="L608" s="292">
        <f t="shared" si="970"/>
        <v>716</v>
      </c>
      <c r="M608" s="292">
        <f t="shared" si="970"/>
        <v>242</v>
      </c>
      <c r="N608" s="292">
        <f t="shared" si="970"/>
        <v>227</v>
      </c>
      <c r="O608" s="292">
        <f t="shared" si="970"/>
        <v>227</v>
      </c>
      <c r="P608" s="292">
        <f t="shared" si="970"/>
        <v>20</v>
      </c>
      <c r="Q608" s="117">
        <f t="shared" si="954"/>
        <v>716</v>
      </c>
      <c r="R608" s="117">
        <f t="shared" si="955"/>
        <v>0</v>
      </c>
      <c r="S608" s="292">
        <f t="shared" si="970"/>
        <v>948</v>
      </c>
      <c r="T608" s="292">
        <f t="shared" si="970"/>
        <v>948</v>
      </c>
      <c r="U608" s="292">
        <f t="shared" si="970"/>
        <v>948</v>
      </c>
    </row>
    <row r="609" spans="1:21" ht="15">
      <c r="A609" s="34"/>
      <c r="B609" s="33" t="s">
        <v>154</v>
      </c>
      <c r="C609" s="12">
        <v>1</v>
      </c>
      <c r="D609" s="69">
        <f t="shared" si="970"/>
        <v>772</v>
      </c>
      <c r="E609" s="69">
        <f t="shared" si="970"/>
        <v>800</v>
      </c>
      <c r="F609" s="69">
        <f t="shared" si="970"/>
        <v>925</v>
      </c>
      <c r="G609" s="69">
        <f t="shared" si="970"/>
        <v>993</v>
      </c>
      <c r="H609" s="69">
        <f t="shared" si="970"/>
        <v>925</v>
      </c>
      <c r="I609" s="69">
        <f t="shared" si="970"/>
        <v>998</v>
      </c>
      <c r="J609" s="69">
        <f t="shared" si="970"/>
        <v>998</v>
      </c>
      <c r="K609" s="69">
        <f t="shared" si="970"/>
        <v>923</v>
      </c>
      <c r="L609" s="283">
        <f t="shared" si="970"/>
        <v>716</v>
      </c>
      <c r="M609" s="283">
        <f t="shared" si="970"/>
        <v>242</v>
      </c>
      <c r="N609" s="283">
        <f t="shared" si="970"/>
        <v>227</v>
      </c>
      <c r="O609" s="283">
        <f t="shared" si="970"/>
        <v>227</v>
      </c>
      <c r="P609" s="283">
        <f t="shared" si="970"/>
        <v>20</v>
      </c>
      <c r="Q609" s="117">
        <f t="shared" si="954"/>
        <v>716</v>
      </c>
      <c r="R609" s="117">
        <f t="shared" si="955"/>
        <v>0</v>
      </c>
      <c r="S609" s="283">
        <f t="shared" si="970"/>
        <v>948</v>
      </c>
      <c r="T609" s="283">
        <f t="shared" si="970"/>
        <v>948</v>
      </c>
      <c r="U609" s="283">
        <f t="shared" si="970"/>
        <v>948</v>
      </c>
    </row>
    <row r="610" spans="1:21" ht="15">
      <c r="A610" s="34"/>
      <c r="B610" s="33" t="s">
        <v>292</v>
      </c>
      <c r="C610" s="12" t="s">
        <v>293</v>
      </c>
      <c r="D610" s="69">
        <f t="shared" ref="D610:U610" si="971">D611+D612</f>
        <v>772</v>
      </c>
      <c r="E610" s="69">
        <f t="shared" ref="E610:F610" si="972">E611+E612</f>
        <v>800</v>
      </c>
      <c r="F610" s="69">
        <f t="shared" si="972"/>
        <v>925</v>
      </c>
      <c r="G610" s="69">
        <f t="shared" si="971"/>
        <v>993</v>
      </c>
      <c r="H610" s="69">
        <f t="shared" si="971"/>
        <v>925</v>
      </c>
      <c r="I610" s="69">
        <f t="shared" si="971"/>
        <v>998</v>
      </c>
      <c r="J610" s="69">
        <f t="shared" si="971"/>
        <v>998</v>
      </c>
      <c r="K610" s="69">
        <f t="shared" ref="K610:L610" si="973">K611+K612</f>
        <v>923</v>
      </c>
      <c r="L610" s="283">
        <f t="shared" si="973"/>
        <v>716</v>
      </c>
      <c r="M610" s="283">
        <f t="shared" ref="M610:P610" si="974">M611+M612</f>
        <v>242</v>
      </c>
      <c r="N610" s="283">
        <f t="shared" si="974"/>
        <v>227</v>
      </c>
      <c r="O610" s="283">
        <f t="shared" si="974"/>
        <v>227</v>
      </c>
      <c r="P610" s="283">
        <f t="shared" si="974"/>
        <v>20</v>
      </c>
      <c r="Q610" s="117">
        <f t="shared" si="954"/>
        <v>716</v>
      </c>
      <c r="R610" s="117">
        <f t="shared" si="955"/>
        <v>0</v>
      </c>
      <c r="S610" s="283">
        <f t="shared" si="971"/>
        <v>948</v>
      </c>
      <c r="T610" s="283">
        <f t="shared" si="971"/>
        <v>948</v>
      </c>
      <c r="U610" s="283">
        <f t="shared" si="971"/>
        <v>948</v>
      </c>
    </row>
    <row r="611" spans="1:21" ht="15">
      <c r="A611" s="34"/>
      <c r="B611" s="33" t="s">
        <v>155</v>
      </c>
      <c r="C611" s="12">
        <v>10</v>
      </c>
      <c r="D611" s="68">
        <v>754</v>
      </c>
      <c r="E611" s="197">
        <v>765</v>
      </c>
      <c r="F611" s="68">
        <v>888</v>
      </c>
      <c r="G611" s="68">
        <v>968</v>
      </c>
      <c r="H611" s="68">
        <v>888</v>
      </c>
      <c r="I611" s="197">
        <v>970</v>
      </c>
      <c r="J611" s="197">
        <v>970</v>
      </c>
      <c r="K611" s="197">
        <v>895</v>
      </c>
      <c r="L611" s="282">
        <f>895-200</f>
        <v>695</v>
      </c>
      <c r="M611" s="282">
        <v>235</v>
      </c>
      <c r="N611" s="282">
        <v>220</v>
      </c>
      <c r="O611" s="282">
        <f>220</f>
        <v>220</v>
      </c>
      <c r="P611" s="282">
        <v>20</v>
      </c>
      <c r="Q611" s="117">
        <f t="shared" si="954"/>
        <v>695</v>
      </c>
      <c r="R611" s="117">
        <f t="shared" si="955"/>
        <v>0</v>
      </c>
      <c r="S611" s="282">
        <v>918</v>
      </c>
      <c r="T611" s="282">
        <v>918</v>
      </c>
      <c r="U611" s="282">
        <v>918</v>
      </c>
    </row>
    <row r="612" spans="1:21" ht="14.25" customHeight="1">
      <c r="A612" s="34"/>
      <c r="B612" s="33" t="s">
        <v>588</v>
      </c>
      <c r="C612" s="12">
        <v>20</v>
      </c>
      <c r="D612" s="68">
        <v>18</v>
      </c>
      <c r="E612" s="197">
        <v>35</v>
      </c>
      <c r="F612" s="68">
        <v>37</v>
      </c>
      <c r="G612" s="68">
        <v>25</v>
      </c>
      <c r="H612" s="68">
        <v>37</v>
      </c>
      <c r="I612" s="197">
        <v>28</v>
      </c>
      <c r="J612" s="197">
        <v>28</v>
      </c>
      <c r="K612" s="197">
        <v>28</v>
      </c>
      <c r="L612" s="282">
        <f>28-7</f>
        <v>21</v>
      </c>
      <c r="M612" s="282">
        <v>7</v>
      </c>
      <c r="N612" s="282">
        <v>7</v>
      </c>
      <c r="O612" s="282">
        <v>7</v>
      </c>
      <c r="P612" s="282">
        <v>0</v>
      </c>
      <c r="Q612" s="117">
        <f t="shared" si="954"/>
        <v>21</v>
      </c>
      <c r="R612" s="117">
        <f t="shared" si="955"/>
        <v>0</v>
      </c>
      <c r="S612" s="282">
        <v>30</v>
      </c>
      <c r="T612" s="282">
        <v>30</v>
      </c>
      <c r="U612" s="282">
        <v>30</v>
      </c>
    </row>
    <row r="613" spans="1:21" ht="14.25" hidden="1" customHeight="1">
      <c r="A613" s="151">
        <v>2.2999999999999998</v>
      </c>
      <c r="B613" s="26" t="s">
        <v>541</v>
      </c>
      <c r="C613" s="84" t="s">
        <v>542</v>
      </c>
      <c r="D613" s="75">
        <f t="shared" ref="D613:U613" si="975">D614+D617+D620+D623+D626+D629</f>
        <v>5412</v>
      </c>
      <c r="E613" s="75">
        <f t="shared" ref="E613:F613" si="976">E614+E617+E620+E623+E626+E629</f>
        <v>2857</v>
      </c>
      <c r="F613" s="75">
        <f t="shared" si="976"/>
        <v>3822</v>
      </c>
      <c r="G613" s="75">
        <f t="shared" si="975"/>
        <v>0</v>
      </c>
      <c r="H613" s="75">
        <f t="shared" si="975"/>
        <v>3822</v>
      </c>
      <c r="I613" s="75">
        <f t="shared" si="975"/>
        <v>0</v>
      </c>
      <c r="J613" s="75">
        <f t="shared" si="975"/>
        <v>0</v>
      </c>
      <c r="K613" s="75">
        <f t="shared" ref="K613:L613" si="977">K614+K617+K620+K623+K626+K629</f>
        <v>0</v>
      </c>
      <c r="L613" s="284">
        <f t="shared" si="977"/>
        <v>0</v>
      </c>
      <c r="M613" s="284">
        <f t="shared" ref="M613:P613" si="978">M614+M617+M620+M623+M626+M629</f>
        <v>0</v>
      </c>
      <c r="N613" s="284">
        <f t="shared" si="978"/>
        <v>0</v>
      </c>
      <c r="O613" s="284">
        <f t="shared" si="978"/>
        <v>0</v>
      </c>
      <c r="P613" s="284">
        <f t="shared" si="978"/>
        <v>0</v>
      </c>
      <c r="Q613" s="117">
        <f t="shared" si="954"/>
        <v>0</v>
      </c>
      <c r="R613" s="117">
        <f t="shared" si="955"/>
        <v>0</v>
      </c>
      <c r="S613" s="284">
        <f t="shared" si="975"/>
        <v>0</v>
      </c>
      <c r="T613" s="284">
        <f t="shared" si="975"/>
        <v>0</v>
      </c>
      <c r="U613" s="284">
        <f t="shared" si="975"/>
        <v>0</v>
      </c>
    </row>
    <row r="614" spans="1:21" ht="14.25" hidden="1" customHeight="1">
      <c r="A614" s="34" t="s">
        <v>543</v>
      </c>
      <c r="B614" s="26" t="s">
        <v>520</v>
      </c>
      <c r="C614" s="84" t="s">
        <v>542</v>
      </c>
      <c r="D614" s="75">
        <f t="shared" ref="D614:U615" si="979">D615</f>
        <v>2778</v>
      </c>
      <c r="E614" s="75">
        <f t="shared" si="979"/>
        <v>2857</v>
      </c>
      <c r="F614" s="75">
        <f t="shared" si="979"/>
        <v>3822</v>
      </c>
      <c r="G614" s="75">
        <f t="shared" si="979"/>
        <v>0</v>
      </c>
      <c r="H614" s="75">
        <f t="shared" si="979"/>
        <v>3822</v>
      </c>
      <c r="I614" s="75">
        <f t="shared" si="979"/>
        <v>0</v>
      </c>
      <c r="J614" s="75">
        <f t="shared" si="979"/>
        <v>0</v>
      </c>
      <c r="K614" s="75">
        <f t="shared" si="979"/>
        <v>0</v>
      </c>
      <c r="L614" s="284">
        <f t="shared" si="979"/>
        <v>0</v>
      </c>
      <c r="M614" s="284">
        <f t="shared" si="979"/>
        <v>0</v>
      </c>
      <c r="N614" s="284">
        <f t="shared" si="979"/>
        <v>0</v>
      </c>
      <c r="O614" s="284">
        <f t="shared" si="979"/>
        <v>0</v>
      </c>
      <c r="P614" s="284">
        <f t="shared" si="979"/>
        <v>0</v>
      </c>
      <c r="Q614" s="117">
        <f t="shared" si="954"/>
        <v>0</v>
      </c>
      <c r="R614" s="117">
        <f t="shared" si="955"/>
        <v>0</v>
      </c>
      <c r="S614" s="284">
        <f t="shared" si="979"/>
        <v>0</v>
      </c>
      <c r="T614" s="284">
        <f t="shared" si="979"/>
        <v>0</v>
      </c>
      <c r="U614" s="284">
        <f t="shared" si="979"/>
        <v>0</v>
      </c>
    </row>
    <row r="615" spans="1:21" ht="15" hidden="1" customHeight="1">
      <c r="A615" s="34"/>
      <c r="B615" s="33" t="s">
        <v>165</v>
      </c>
      <c r="C615" s="12"/>
      <c r="D615" s="68">
        <f t="shared" si="979"/>
        <v>2778</v>
      </c>
      <c r="E615" s="68">
        <f t="shared" si="979"/>
        <v>2857</v>
      </c>
      <c r="F615" s="68">
        <f t="shared" si="979"/>
        <v>3822</v>
      </c>
      <c r="G615" s="68">
        <f t="shared" si="979"/>
        <v>0</v>
      </c>
      <c r="H615" s="68">
        <f t="shared" si="979"/>
        <v>3822</v>
      </c>
      <c r="I615" s="68">
        <f t="shared" si="979"/>
        <v>0</v>
      </c>
      <c r="J615" s="68">
        <f t="shared" si="979"/>
        <v>0</v>
      </c>
      <c r="K615" s="68">
        <f t="shared" si="979"/>
        <v>0</v>
      </c>
      <c r="L615" s="176">
        <f t="shared" si="979"/>
        <v>0</v>
      </c>
      <c r="M615" s="176">
        <f t="shared" si="979"/>
        <v>0</v>
      </c>
      <c r="N615" s="176">
        <f t="shared" si="979"/>
        <v>0</v>
      </c>
      <c r="O615" s="176">
        <f t="shared" si="979"/>
        <v>0</v>
      </c>
      <c r="P615" s="176">
        <f t="shared" si="979"/>
        <v>0</v>
      </c>
      <c r="Q615" s="117">
        <f t="shared" si="954"/>
        <v>0</v>
      </c>
      <c r="R615" s="117">
        <f t="shared" si="955"/>
        <v>0</v>
      </c>
      <c r="S615" s="176">
        <f t="shared" si="979"/>
        <v>0</v>
      </c>
      <c r="T615" s="176">
        <f t="shared" si="979"/>
        <v>0</v>
      </c>
      <c r="U615" s="176">
        <f t="shared" si="979"/>
        <v>0</v>
      </c>
    </row>
    <row r="616" spans="1:21" ht="30" hidden="1" customHeight="1">
      <c r="A616" s="34"/>
      <c r="B616" s="32" t="s">
        <v>544</v>
      </c>
      <c r="C616" s="12" t="s">
        <v>170</v>
      </c>
      <c r="D616" s="68">
        <v>2778</v>
      </c>
      <c r="E616" s="197">
        <v>2857</v>
      </c>
      <c r="F616" s="68">
        <v>3822</v>
      </c>
      <c r="G616" s="68"/>
      <c r="H616" s="68">
        <v>3822</v>
      </c>
      <c r="I616" s="197"/>
      <c r="J616" s="197"/>
      <c r="K616" s="197"/>
      <c r="L616" s="282"/>
      <c r="M616" s="282"/>
      <c r="N616" s="282"/>
      <c r="O616" s="282"/>
      <c r="P616" s="282"/>
      <c r="Q616" s="117">
        <f t="shared" si="954"/>
        <v>0</v>
      </c>
      <c r="R616" s="117">
        <f t="shared" si="955"/>
        <v>0</v>
      </c>
      <c r="S616" s="282"/>
      <c r="T616" s="282"/>
      <c r="U616" s="282"/>
    </row>
    <row r="617" spans="1:21" ht="14.25" hidden="1" customHeight="1">
      <c r="A617" s="34" t="s">
        <v>545</v>
      </c>
      <c r="B617" s="31" t="s">
        <v>521</v>
      </c>
      <c r="C617" s="84" t="s">
        <v>542</v>
      </c>
      <c r="D617" s="75">
        <f t="shared" ref="D617:U618" si="980">D618</f>
        <v>868</v>
      </c>
      <c r="E617" s="75">
        <f t="shared" si="980"/>
        <v>0</v>
      </c>
      <c r="F617" s="75">
        <f t="shared" si="980"/>
        <v>0</v>
      </c>
      <c r="G617" s="75">
        <f t="shared" si="980"/>
        <v>0</v>
      </c>
      <c r="H617" s="75">
        <f t="shared" si="980"/>
        <v>0</v>
      </c>
      <c r="I617" s="75">
        <f t="shared" si="980"/>
        <v>0</v>
      </c>
      <c r="J617" s="75">
        <f t="shared" si="980"/>
        <v>0</v>
      </c>
      <c r="K617" s="75">
        <f t="shared" si="980"/>
        <v>0</v>
      </c>
      <c r="L617" s="284">
        <f t="shared" si="980"/>
        <v>0</v>
      </c>
      <c r="M617" s="284">
        <f t="shared" si="980"/>
        <v>0</v>
      </c>
      <c r="N617" s="284">
        <f t="shared" si="980"/>
        <v>0</v>
      </c>
      <c r="O617" s="284">
        <f t="shared" si="980"/>
        <v>0</v>
      </c>
      <c r="P617" s="284">
        <f t="shared" si="980"/>
        <v>0</v>
      </c>
      <c r="Q617" s="117">
        <f t="shared" si="954"/>
        <v>0</v>
      </c>
      <c r="R617" s="117">
        <f t="shared" si="955"/>
        <v>0</v>
      </c>
      <c r="S617" s="284">
        <f t="shared" si="980"/>
        <v>0</v>
      </c>
      <c r="T617" s="284">
        <f t="shared" si="980"/>
        <v>0</v>
      </c>
      <c r="U617" s="284">
        <f t="shared" si="980"/>
        <v>0</v>
      </c>
    </row>
    <row r="618" spans="1:21" ht="15" hidden="1" customHeight="1">
      <c r="A618" s="34"/>
      <c r="B618" s="33" t="s">
        <v>165</v>
      </c>
      <c r="C618" s="12"/>
      <c r="D618" s="68">
        <f t="shared" si="980"/>
        <v>868</v>
      </c>
      <c r="E618" s="68">
        <f t="shared" si="980"/>
        <v>0</v>
      </c>
      <c r="F618" s="68">
        <f t="shared" si="980"/>
        <v>0</v>
      </c>
      <c r="G618" s="68">
        <f t="shared" si="980"/>
        <v>0</v>
      </c>
      <c r="H618" s="68">
        <f t="shared" si="980"/>
        <v>0</v>
      </c>
      <c r="I618" s="68">
        <f t="shared" si="980"/>
        <v>0</v>
      </c>
      <c r="J618" s="68">
        <f t="shared" si="980"/>
        <v>0</v>
      </c>
      <c r="K618" s="68">
        <f t="shared" si="980"/>
        <v>0</v>
      </c>
      <c r="L618" s="176">
        <f t="shared" si="980"/>
        <v>0</v>
      </c>
      <c r="M618" s="176">
        <f t="shared" si="980"/>
        <v>0</v>
      </c>
      <c r="N618" s="176">
        <f t="shared" si="980"/>
        <v>0</v>
      </c>
      <c r="O618" s="176">
        <f t="shared" si="980"/>
        <v>0</v>
      </c>
      <c r="P618" s="176">
        <f t="shared" si="980"/>
        <v>0</v>
      </c>
      <c r="Q618" s="117">
        <f t="shared" si="954"/>
        <v>0</v>
      </c>
      <c r="R618" s="117">
        <f t="shared" si="955"/>
        <v>0</v>
      </c>
      <c r="S618" s="176">
        <f t="shared" si="980"/>
        <v>0</v>
      </c>
      <c r="T618" s="176">
        <f t="shared" si="980"/>
        <v>0</v>
      </c>
      <c r="U618" s="176">
        <f t="shared" si="980"/>
        <v>0</v>
      </c>
    </row>
    <row r="619" spans="1:21" ht="30" hidden="1" customHeight="1">
      <c r="A619" s="34"/>
      <c r="B619" s="32" t="s">
        <v>544</v>
      </c>
      <c r="C619" s="12" t="s">
        <v>170</v>
      </c>
      <c r="D619" s="68">
        <v>868</v>
      </c>
      <c r="E619" s="197"/>
      <c r="F619" s="68"/>
      <c r="G619" s="68"/>
      <c r="H619" s="68"/>
      <c r="I619" s="197"/>
      <c r="J619" s="197"/>
      <c r="K619" s="197"/>
      <c r="L619" s="282"/>
      <c r="M619" s="282"/>
      <c r="N619" s="282"/>
      <c r="O619" s="282"/>
      <c r="P619" s="282"/>
      <c r="Q619" s="117">
        <f t="shared" si="954"/>
        <v>0</v>
      </c>
      <c r="R619" s="117">
        <f t="shared" si="955"/>
        <v>0</v>
      </c>
      <c r="S619" s="282"/>
      <c r="T619" s="282"/>
      <c r="U619" s="282"/>
    </row>
    <row r="620" spans="1:21" ht="18" hidden="1" customHeight="1">
      <c r="A620" s="34" t="s">
        <v>545</v>
      </c>
      <c r="B620" s="31" t="s">
        <v>547</v>
      </c>
      <c r="C620" s="84" t="s">
        <v>542</v>
      </c>
      <c r="D620" s="75">
        <f t="shared" ref="D620:U621" si="981">D621</f>
        <v>164</v>
      </c>
      <c r="E620" s="75">
        <f t="shared" si="981"/>
        <v>0</v>
      </c>
      <c r="F620" s="75">
        <f t="shared" si="981"/>
        <v>0</v>
      </c>
      <c r="G620" s="75">
        <f t="shared" si="981"/>
        <v>0</v>
      </c>
      <c r="H620" s="75">
        <f t="shared" si="981"/>
        <v>0</v>
      </c>
      <c r="I620" s="75">
        <f t="shared" si="981"/>
        <v>0</v>
      </c>
      <c r="J620" s="75">
        <f t="shared" si="981"/>
        <v>0</v>
      </c>
      <c r="K620" s="75">
        <f t="shared" si="981"/>
        <v>0</v>
      </c>
      <c r="L620" s="284">
        <f t="shared" si="981"/>
        <v>0</v>
      </c>
      <c r="M620" s="284">
        <f t="shared" si="981"/>
        <v>0</v>
      </c>
      <c r="N620" s="284">
        <f t="shared" si="981"/>
        <v>0</v>
      </c>
      <c r="O620" s="284">
        <f t="shared" si="981"/>
        <v>0</v>
      </c>
      <c r="P620" s="284">
        <f t="shared" si="981"/>
        <v>0</v>
      </c>
      <c r="Q620" s="117">
        <f t="shared" si="954"/>
        <v>0</v>
      </c>
      <c r="R620" s="117">
        <f t="shared" si="955"/>
        <v>0</v>
      </c>
      <c r="S620" s="284">
        <f t="shared" si="981"/>
        <v>0</v>
      </c>
      <c r="T620" s="284">
        <f t="shared" si="981"/>
        <v>0</v>
      </c>
      <c r="U620" s="284">
        <f t="shared" si="981"/>
        <v>0</v>
      </c>
    </row>
    <row r="621" spans="1:21" ht="15" hidden="1" customHeight="1">
      <c r="A621" s="34"/>
      <c r="B621" s="33" t="s">
        <v>165</v>
      </c>
      <c r="C621" s="12"/>
      <c r="D621" s="68">
        <f t="shared" si="981"/>
        <v>164</v>
      </c>
      <c r="E621" s="68">
        <f t="shared" si="981"/>
        <v>0</v>
      </c>
      <c r="F621" s="68">
        <f t="shared" si="981"/>
        <v>0</v>
      </c>
      <c r="G621" s="68">
        <f t="shared" si="981"/>
        <v>0</v>
      </c>
      <c r="H621" s="68">
        <f t="shared" si="981"/>
        <v>0</v>
      </c>
      <c r="I621" s="68">
        <f t="shared" si="981"/>
        <v>0</v>
      </c>
      <c r="J621" s="68">
        <f t="shared" si="981"/>
        <v>0</v>
      </c>
      <c r="K621" s="68">
        <f t="shared" si="981"/>
        <v>0</v>
      </c>
      <c r="L621" s="176">
        <f t="shared" si="981"/>
        <v>0</v>
      </c>
      <c r="M621" s="176">
        <f t="shared" si="981"/>
        <v>0</v>
      </c>
      <c r="N621" s="176">
        <f t="shared" si="981"/>
        <v>0</v>
      </c>
      <c r="O621" s="176">
        <f t="shared" si="981"/>
        <v>0</v>
      </c>
      <c r="P621" s="176">
        <f t="shared" si="981"/>
        <v>0</v>
      </c>
      <c r="Q621" s="117">
        <f t="shared" si="954"/>
        <v>0</v>
      </c>
      <c r="R621" s="117">
        <f t="shared" si="955"/>
        <v>0</v>
      </c>
      <c r="S621" s="176">
        <f t="shared" si="981"/>
        <v>0</v>
      </c>
      <c r="T621" s="176">
        <f t="shared" si="981"/>
        <v>0</v>
      </c>
      <c r="U621" s="176">
        <f t="shared" si="981"/>
        <v>0</v>
      </c>
    </row>
    <row r="622" spans="1:21" ht="30" hidden="1" customHeight="1">
      <c r="A622" s="34"/>
      <c r="B622" s="32" t="s">
        <v>544</v>
      </c>
      <c r="C622" s="12" t="s">
        <v>170</v>
      </c>
      <c r="D622" s="68">
        <v>164</v>
      </c>
      <c r="E622" s="197"/>
      <c r="F622" s="68"/>
      <c r="G622" s="68"/>
      <c r="H622" s="68"/>
      <c r="I622" s="197"/>
      <c r="J622" s="197"/>
      <c r="K622" s="197"/>
      <c r="L622" s="282"/>
      <c r="M622" s="282"/>
      <c r="N622" s="282"/>
      <c r="O622" s="282"/>
      <c r="P622" s="282"/>
      <c r="Q622" s="117">
        <f t="shared" si="954"/>
        <v>0</v>
      </c>
      <c r="R622" s="117">
        <f t="shared" si="955"/>
        <v>0</v>
      </c>
      <c r="S622" s="282"/>
      <c r="T622" s="282"/>
      <c r="U622" s="282"/>
    </row>
    <row r="623" spans="1:21" ht="14.25" hidden="1" customHeight="1">
      <c r="A623" s="34" t="s">
        <v>545</v>
      </c>
      <c r="B623" s="31" t="s">
        <v>546</v>
      </c>
      <c r="C623" s="84" t="s">
        <v>542</v>
      </c>
      <c r="D623" s="75">
        <f t="shared" ref="D623:U624" si="982">D624</f>
        <v>1312</v>
      </c>
      <c r="E623" s="75">
        <f t="shared" si="982"/>
        <v>0</v>
      </c>
      <c r="F623" s="75">
        <f t="shared" si="982"/>
        <v>0</v>
      </c>
      <c r="G623" s="75">
        <f t="shared" si="982"/>
        <v>0</v>
      </c>
      <c r="H623" s="75">
        <f t="shared" si="982"/>
        <v>0</v>
      </c>
      <c r="I623" s="75">
        <f t="shared" si="982"/>
        <v>0</v>
      </c>
      <c r="J623" s="75">
        <f t="shared" si="982"/>
        <v>0</v>
      </c>
      <c r="K623" s="75">
        <f t="shared" si="982"/>
        <v>0</v>
      </c>
      <c r="L623" s="284">
        <f t="shared" si="982"/>
        <v>0</v>
      </c>
      <c r="M623" s="284">
        <f t="shared" si="982"/>
        <v>0</v>
      </c>
      <c r="N623" s="284">
        <f t="shared" si="982"/>
        <v>0</v>
      </c>
      <c r="O623" s="284">
        <f t="shared" si="982"/>
        <v>0</v>
      </c>
      <c r="P623" s="284">
        <f t="shared" si="982"/>
        <v>0</v>
      </c>
      <c r="Q623" s="117">
        <f t="shared" si="954"/>
        <v>0</v>
      </c>
      <c r="R623" s="117">
        <f t="shared" si="955"/>
        <v>0</v>
      </c>
      <c r="S623" s="284">
        <f t="shared" si="982"/>
        <v>0</v>
      </c>
      <c r="T623" s="284">
        <f t="shared" si="982"/>
        <v>0</v>
      </c>
      <c r="U623" s="284">
        <f t="shared" si="982"/>
        <v>0</v>
      </c>
    </row>
    <row r="624" spans="1:21" ht="14.25" hidden="1" customHeight="1">
      <c r="A624" s="34"/>
      <c r="B624" s="33" t="s">
        <v>165</v>
      </c>
      <c r="C624" s="12"/>
      <c r="D624" s="68">
        <f t="shared" si="982"/>
        <v>1312</v>
      </c>
      <c r="E624" s="68">
        <f t="shared" si="982"/>
        <v>0</v>
      </c>
      <c r="F624" s="68">
        <f t="shared" si="982"/>
        <v>0</v>
      </c>
      <c r="G624" s="68">
        <f t="shared" si="982"/>
        <v>0</v>
      </c>
      <c r="H624" s="68">
        <f t="shared" si="982"/>
        <v>0</v>
      </c>
      <c r="I624" s="68">
        <f t="shared" si="982"/>
        <v>0</v>
      </c>
      <c r="J624" s="68">
        <f t="shared" si="982"/>
        <v>0</v>
      </c>
      <c r="K624" s="68">
        <f t="shared" si="982"/>
        <v>0</v>
      </c>
      <c r="L624" s="176">
        <f t="shared" si="982"/>
        <v>0</v>
      </c>
      <c r="M624" s="176">
        <f t="shared" si="982"/>
        <v>0</v>
      </c>
      <c r="N624" s="176">
        <f t="shared" si="982"/>
        <v>0</v>
      </c>
      <c r="O624" s="176">
        <f t="shared" si="982"/>
        <v>0</v>
      </c>
      <c r="P624" s="176">
        <f t="shared" si="982"/>
        <v>0</v>
      </c>
      <c r="Q624" s="117">
        <f t="shared" si="954"/>
        <v>0</v>
      </c>
      <c r="R624" s="117">
        <f t="shared" si="955"/>
        <v>0</v>
      </c>
      <c r="S624" s="176">
        <f t="shared" si="982"/>
        <v>0</v>
      </c>
      <c r="T624" s="176">
        <f t="shared" si="982"/>
        <v>0</v>
      </c>
      <c r="U624" s="176">
        <f t="shared" si="982"/>
        <v>0</v>
      </c>
    </row>
    <row r="625" spans="1:21" ht="14.25" hidden="1" customHeight="1">
      <c r="A625" s="34"/>
      <c r="B625" s="32" t="s">
        <v>544</v>
      </c>
      <c r="C625" s="12" t="s">
        <v>170</v>
      </c>
      <c r="D625" s="68">
        <v>1312</v>
      </c>
      <c r="E625" s="197"/>
      <c r="F625" s="68"/>
      <c r="G625" s="68"/>
      <c r="H625" s="68"/>
      <c r="I625" s="197"/>
      <c r="J625" s="197"/>
      <c r="K625" s="197"/>
      <c r="L625" s="282"/>
      <c r="M625" s="282"/>
      <c r="N625" s="282"/>
      <c r="O625" s="282"/>
      <c r="P625" s="282"/>
      <c r="Q625" s="117">
        <f t="shared" si="954"/>
        <v>0</v>
      </c>
      <c r="R625" s="117">
        <f t="shared" si="955"/>
        <v>0</v>
      </c>
      <c r="S625" s="282"/>
      <c r="T625" s="282"/>
      <c r="U625" s="282"/>
    </row>
    <row r="626" spans="1:21" ht="27.75" hidden="1" customHeight="1">
      <c r="A626" s="34" t="s">
        <v>545</v>
      </c>
      <c r="B626" s="31" t="s">
        <v>548</v>
      </c>
      <c r="C626" s="84" t="s">
        <v>542</v>
      </c>
      <c r="D626" s="75">
        <f t="shared" ref="D626:U627" si="983">D627</f>
        <v>189</v>
      </c>
      <c r="E626" s="75">
        <f t="shared" si="983"/>
        <v>0</v>
      </c>
      <c r="F626" s="75">
        <f t="shared" si="983"/>
        <v>0</v>
      </c>
      <c r="G626" s="75">
        <f t="shared" si="983"/>
        <v>0</v>
      </c>
      <c r="H626" s="75">
        <f t="shared" si="983"/>
        <v>0</v>
      </c>
      <c r="I626" s="75">
        <f t="shared" si="983"/>
        <v>0</v>
      </c>
      <c r="J626" s="75">
        <f t="shared" si="983"/>
        <v>0</v>
      </c>
      <c r="K626" s="75">
        <f t="shared" si="983"/>
        <v>0</v>
      </c>
      <c r="L626" s="284">
        <f t="shared" si="983"/>
        <v>0</v>
      </c>
      <c r="M626" s="284">
        <f t="shared" si="983"/>
        <v>0</v>
      </c>
      <c r="N626" s="284">
        <f t="shared" si="983"/>
        <v>0</v>
      </c>
      <c r="O626" s="284">
        <f t="shared" si="983"/>
        <v>0</v>
      </c>
      <c r="P626" s="284">
        <f t="shared" si="983"/>
        <v>0</v>
      </c>
      <c r="Q626" s="117">
        <f t="shared" si="954"/>
        <v>0</v>
      </c>
      <c r="R626" s="117">
        <f t="shared" si="955"/>
        <v>0</v>
      </c>
      <c r="S626" s="284">
        <f t="shared" si="983"/>
        <v>0</v>
      </c>
      <c r="T626" s="284">
        <f t="shared" si="983"/>
        <v>0</v>
      </c>
      <c r="U626" s="284">
        <f t="shared" si="983"/>
        <v>0</v>
      </c>
    </row>
    <row r="627" spans="1:21" ht="15" hidden="1" customHeight="1">
      <c r="A627" s="34"/>
      <c r="B627" s="33" t="s">
        <v>165</v>
      </c>
      <c r="C627" s="12"/>
      <c r="D627" s="68">
        <f t="shared" si="983"/>
        <v>189</v>
      </c>
      <c r="E627" s="68">
        <f t="shared" si="983"/>
        <v>0</v>
      </c>
      <c r="F627" s="68">
        <f t="shared" si="983"/>
        <v>0</v>
      </c>
      <c r="G627" s="68">
        <f t="shared" si="983"/>
        <v>0</v>
      </c>
      <c r="H627" s="68">
        <f t="shared" si="983"/>
        <v>0</v>
      </c>
      <c r="I627" s="68">
        <f t="shared" si="983"/>
        <v>0</v>
      </c>
      <c r="J627" s="68">
        <f t="shared" si="983"/>
        <v>0</v>
      </c>
      <c r="K627" s="68">
        <f t="shared" si="983"/>
        <v>0</v>
      </c>
      <c r="L627" s="176">
        <f t="shared" si="983"/>
        <v>0</v>
      </c>
      <c r="M627" s="176">
        <f t="shared" si="983"/>
        <v>0</v>
      </c>
      <c r="N627" s="176">
        <f t="shared" si="983"/>
        <v>0</v>
      </c>
      <c r="O627" s="176">
        <f t="shared" si="983"/>
        <v>0</v>
      </c>
      <c r="P627" s="176">
        <f t="shared" si="983"/>
        <v>0</v>
      </c>
      <c r="Q627" s="117">
        <f t="shared" si="954"/>
        <v>0</v>
      </c>
      <c r="R627" s="117">
        <f t="shared" si="955"/>
        <v>0</v>
      </c>
      <c r="S627" s="176">
        <f t="shared" si="983"/>
        <v>0</v>
      </c>
      <c r="T627" s="176">
        <f t="shared" si="983"/>
        <v>0</v>
      </c>
      <c r="U627" s="176">
        <f t="shared" si="983"/>
        <v>0</v>
      </c>
    </row>
    <row r="628" spans="1:21" ht="30" hidden="1" customHeight="1">
      <c r="A628" s="34"/>
      <c r="B628" s="32" t="s">
        <v>544</v>
      </c>
      <c r="C628" s="12" t="s">
        <v>170</v>
      </c>
      <c r="D628" s="68">
        <v>189</v>
      </c>
      <c r="E628" s="197"/>
      <c r="F628" s="68"/>
      <c r="G628" s="68"/>
      <c r="H628" s="68"/>
      <c r="I628" s="197"/>
      <c r="J628" s="197"/>
      <c r="K628" s="197"/>
      <c r="L628" s="282"/>
      <c r="M628" s="282"/>
      <c r="N628" s="282"/>
      <c r="O628" s="282"/>
      <c r="P628" s="282"/>
      <c r="Q628" s="117">
        <f t="shared" si="954"/>
        <v>0</v>
      </c>
      <c r="R628" s="117">
        <f t="shared" si="955"/>
        <v>0</v>
      </c>
      <c r="S628" s="282"/>
      <c r="T628" s="282"/>
      <c r="U628" s="282"/>
    </row>
    <row r="629" spans="1:21" ht="14.25" hidden="1" customHeight="1">
      <c r="A629" s="34" t="s">
        <v>545</v>
      </c>
      <c r="B629" s="31" t="s">
        <v>549</v>
      </c>
      <c r="C629" s="84" t="s">
        <v>542</v>
      </c>
      <c r="D629" s="75">
        <f t="shared" ref="D629:U630" si="984">D630</f>
        <v>101</v>
      </c>
      <c r="E629" s="75">
        <f t="shared" si="984"/>
        <v>0</v>
      </c>
      <c r="F629" s="75">
        <f t="shared" si="984"/>
        <v>0</v>
      </c>
      <c r="G629" s="75">
        <f t="shared" si="984"/>
        <v>0</v>
      </c>
      <c r="H629" s="75">
        <f t="shared" si="984"/>
        <v>0</v>
      </c>
      <c r="I629" s="75">
        <f t="shared" si="984"/>
        <v>0</v>
      </c>
      <c r="J629" s="75">
        <f t="shared" si="984"/>
        <v>0</v>
      </c>
      <c r="K629" s="75">
        <f t="shared" si="984"/>
        <v>0</v>
      </c>
      <c r="L629" s="284">
        <f t="shared" si="984"/>
        <v>0</v>
      </c>
      <c r="M629" s="284">
        <f t="shared" si="984"/>
        <v>0</v>
      </c>
      <c r="N629" s="284">
        <f t="shared" si="984"/>
        <v>0</v>
      </c>
      <c r="O629" s="284">
        <f t="shared" si="984"/>
        <v>0</v>
      </c>
      <c r="P629" s="284">
        <f t="shared" si="984"/>
        <v>0</v>
      </c>
      <c r="Q629" s="117">
        <f t="shared" si="954"/>
        <v>0</v>
      </c>
      <c r="R629" s="117">
        <f t="shared" si="955"/>
        <v>0</v>
      </c>
      <c r="S629" s="284">
        <f t="shared" si="984"/>
        <v>0</v>
      </c>
      <c r="T629" s="284">
        <f t="shared" si="984"/>
        <v>0</v>
      </c>
      <c r="U629" s="284">
        <f t="shared" si="984"/>
        <v>0</v>
      </c>
    </row>
    <row r="630" spans="1:21" ht="15" hidden="1" customHeight="1">
      <c r="A630" s="34"/>
      <c r="B630" s="33" t="s">
        <v>165</v>
      </c>
      <c r="C630" s="12"/>
      <c r="D630" s="68">
        <f t="shared" si="984"/>
        <v>101</v>
      </c>
      <c r="E630" s="68">
        <f t="shared" si="984"/>
        <v>0</v>
      </c>
      <c r="F630" s="68">
        <f t="shared" si="984"/>
        <v>0</v>
      </c>
      <c r="G630" s="68">
        <f t="shared" si="984"/>
        <v>0</v>
      </c>
      <c r="H630" s="68">
        <f t="shared" si="984"/>
        <v>0</v>
      </c>
      <c r="I630" s="68">
        <f t="shared" si="984"/>
        <v>0</v>
      </c>
      <c r="J630" s="68">
        <f t="shared" si="984"/>
        <v>0</v>
      </c>
      <c r="K630" s="68">
        <f t="shared" si="984"/>
        <v>0</v>
      </c>
      <c r="L630" s="176">
        <f t="shared" si="984"/>
        <v>0</v>
      </c>
      <c r="M630" s="176">
        <f t="shared" si="984"/>
        <v>0</v>
      </c>
      <c r="N630" s="176">
        <f t="shared" si="984"/>
        <v>0</v>
      </c>
      <c r="O630" s="176">
        <f t="shared" si="984"/>
        <v>0</v>
      </c>
      <c r="P630" s="176">
        <f t="shared" si="984"/>
        <v>0</v>
      </c>
      <c r="Q630" s="117">
        <f t="shared" si="954"/>
        <v>0</v>
      </c>
      <c r="R630" s="117">
        <f t="shared" si="955"/>
        <v>0</v>
      </c>
      <c r="S630" s="176">
        <f t="shared" si="984"/>
        <v>0</v>
      </c>
      <c r="T630" s="176">
        <f t="shared" si="984"/>
        <v>0</v>
      </c>
      <c r="U630" s="176">
        <f t="shared" si="984"/>
        <v>0</v>
      </c>
    </row>
    <row r="631" spans="1:21" ht="30" hidden="1" customHeight="1">
      <c r="A631" s="34"/>
      <c r="B631" s="32" t="s">
        <v>544</v>
      </c>
      <c r="C631" s="12" t="s">
        <v>170</v>
      </c>
      <c r="D631" s="68">
        <v>101</v>
      </c>
      <c r="E631" s="197"/>
      <c r="F631" s="68"/>
      <c r="G631" s="68"/>
      <c r="H631" s="68"/>
      <c r="I631" s="197"/>
      <c r="J631" s="197"/>
      <c r="K631" s="197"/>
      <c r="L631" s="282"/>
      <c r="M631" s="282"/>
      <c r="N631" s="282"/>
      <c r="O631" s="282"/>
      <c r="P631" s="282"/>
      <c r="Q631" s="117">
        <f t="shared" si="954"/>
        <v>0</v>
      </c>
      <c r="R631" s="117">
        <f t="shared" si="955"/>
        <v>0</v>
      </c>
      <c r="S631" s="282"/>
      <c r="T631" s="282"/>
      <c r="U631" s="282"/>
    </row>
    <row r="632" spans="1:21" ht="19.5" customHeight="1">
      <c r="A632" s="41">
        <v>3</v>
      </c>
      <c r="B632" s="187" t="s">
        <v>582</v>
      </c>
      <c r="C632" s="184" t="s">
        <v>304</v>
      </c>
      <c r="D632" s="185">
        <f t="shared" ref="D632:U632" si="985">D643+D654+D663+D669+D675+D685+D694+D703+D711+D716+D726+D731</f>
        <v>58486</v>
      </c>
      <c r="E632" s="185">
        <f t="shared" ref="E632:F632" si="986">E643+E654+E663+E669+E675+E685+E694+E703+E711+E716+E726+E731</f>
        <v>56182</v>
      </c>
      <c r="F632" s="185">
        <f t="shared" si="986"/>
        <v>59537.9</v>
      </c>
      <c r="G632" s="185">
        <f t="shared" si="985"/>
        <v>62887</v>
      </c>
      <c r="H632" s="185">
        <f t="shared" si="985"/>
        <v>59537.9</v>
      </c>
      <c r="I632" s="185">
        <f t="shared" si="985"/>
        <v>65037</v>
      </c>
      <c r="J632" s="185">
        <f t="shared" si="985"/>
        <v>48934</v>
      </c>
      <c r="K632" s="185">
        <f t="shared" ref="K632:L632" si="987">K643+K654+K663+K669+K675+K685+K694+K703+K711+K716+K726+K731</f>
        <v>62051</v>
      </c>
      <c r="L632" s="299">
        <f t="shared" si="987"/>
        <v>52625</v>
      </c>
      <c r="M632" s="299">
        <f t="shared" ref="M632:P632" si="988">M643+M654+M663+M669+M675+M685+M694+M703+M711+M716+M726+M731</f>
        <v>13825</v>
      </c>
      <c r="N632" s="299">
        <f t="shared" si="988"/>
        <v>13240</v>
      </c>
      <c r="O632" s="299">
        <f t="shared" si="988"/>
        <v>13439</v>
      </c>
      <c r="P632" s="299">
        <f t="shared" si="988"/>
        <v>12121</v>
      </c>
      <c r="Q632" s="117">
        <f t="shared" si="954"/>
        <v>52625</v>
      </c>
      <c r="R632" s="117">
        <f t="shared" si="955"/>
        <v>0</v>
      </c>
      <c r="S632" s="299">
        <f t="shared" si="985"/>
        <v>54344</v>
      </c>
      <c r="T632" s="299">
        <f t="shared" si="985"/>
        <v>54344</v>
      </c>
      <c r="U632" s="299">
        <f t="shared" si="985"/>
        <v>54344</v>
      </c>
    </row>
    <row r="633" spans="1:21" ht="18.75" customHeight="1">
      <c r="A633" s="34"/>
      <c r="B633" s="24" t="s">
        <v>153</v>
      </c>
      <c r="C633" s="84"/>
      <c r="D633" s="73">
        <f t="shared" ref="D633:U633" si="989">D644+D655+D676+D686+D695+D704+D712+D717+D727+D732</f>
        <v>56140</v>
      </c>
      <c r="E633" s="73">
        <f t="shared" ref="E633:F633" si="990">E644+E655+E676+E686+E695+E704+E712+E717+E727+E732</f>
        <v>55310</v>
      </c>
      <c r="F633" s="73">
        <f t="shared" si="990"/>
        <v>58605.9</v>
      </c>
      <c r="G633" s="73">
        <f t="shared" si="989"/>
        <v>62457</v>
      </c>
      <c r="H633" s="73">
        <f t="shared" si="989"/>
        <v>58605.9</v>
      </c>
      <c r="I633" s="73">
        <f t="shared" si="989"/>
        <v>62686</v>
      </c>
      <c r="J633" s="73">
        <f t="shared" si="989"/>
        <v>48934</v>
      </c>
      <c r="K633" s="73">
        <f t="shared" ref="K633:L633" si="991">K644+K655+K676+K686+K695+K704+K712+K717+K727+K732</f>
        <v>59700</v>
      </c>
      <c r="L633" s="292">
        <f t="shared" si="991"/>
        <v>52625</v>
      </c>
      <c r="M633" s="292">
        <f t="shared" ref="M633:P633" si="992">M644+M655+M676+M686+M695+M704+M712+M717+M727+M732</f>
        <v>13825</v>
      </c>
      <c r="N633" s="292">
        <f t="shared" si="992"/>
        <v>13240</v>
      </c>
      <c r="O633" s="292">
        <f t="shared" si="992"/>
        <v>13439</v>
      </c>
      <c r="P633" s="292">
        <f t="shared" si="992"/>
        <v>12121</v>
      </c>
      <c r="Q633" s="117">
        <f t="shared" si="954"/>
        <v>52625</v>
      </c>
      <c r="R633" s="117">
        <f t="shared" si="955"/>
        <v>0</v>
      </c>
      <c r="S633" s="292">
        <f t="shared" si="989"/>
        <v>54344</v>
      </c>
      <c r="T633" s="292">
        <f t="shared" si="989"/>
        <v>54344</v>
      </c>
      <c r="U633" s="292">
        <f t="shared" si="989"/>
        <v>54344</v>
      </c>
    </row>
    <row r="634" spans="1:21" ht="15">
      <c r="A634" s="34"/>
      <c r="B634" s="33" t="s">
        <v>154</v>
      </c>
      <c r="C634" s="12">
        <v>1</v>
      </c>
      <c r="D634" s="69">
        <f>D645+D656+D677+D687+D696+D705+D713+D718+D728</f>
        <v>55695</v>
      </c>
      <c r="E634" s="69">
        <f t="shared" ref="E634:F634" si="993">E645+E656+E677+E687+E696+E705+E713+E718+E728+E733</f>
        <v>55678</v>
      </c>
      <c r="F634" s="69">
        <f t="shared" si="993"/>
        <v>58958.9</v>
      </c>
      <c r="G634" s="69">
        <f t="shared" ref="G634:U634" si="994">G645+G656+G677+G687+G696+G705+G713+G718+G728+G733</f>
        <v>62457</v>
      </c>
      <c r="H634" s="69">
        <f t="shared" si="994"/>
        <v>58958.9</v>
      </c>
      <c r="I634" s="69">
        <f t="shared" si="994"/>
        <v>62686</v>
      </c>
      <c r="J634" s="69">
        <f t="shared" si="994"/>
        <v>48934</v>
      </c>
      <c r="K634" s="69">
        <f t="shared" ref="K634:L634" si="995">K645+K656+K677+K687+K696+K705+K713+K718+K728+K733</f>
        <v>59700</v>
      </c>
      <c r="L634" s="283">
        <f t="shared" si="995"/>
        <v>52625</v>
      </c>
      <c r="M634" s="283">
        <f t="shared" ref="M634:P634" si="996">M645+M656+M677+M687+M696+M705+M713+M718+M728+M733</f>
        <v>13825</v>
      </c>
      <c r="N634" s="283">
        <f t="shared" si="996"/>
        <v>13240</v>
      </c>
      <c r="O634" s="283">
        <f t="shared" si="996"/>
        <v>13439</v>
      </c>
      <c r="P634" s="283">
        <f t="shared" si="996"/>
        <v>12121</v>
      </c>
      <c r="Q634" s="117">
        <f t="shared" si="954"/>
        <v>52625</v>
      </c>
      <c r="R634" s="117">
        <f t="shared" si="955"/>
        <v>0</v>
      </c>
      <c r="S634" s="283">
        <f t="shared" si="994"/>
        <v>54344</v>
      </c>
      <c r="T634" s="283">
        <f t="shared" si="994"/>
        <v>54344</v>
      </c>
      <c r="U634" s="283">
        <f t="shared" si="994"/>
        <v>54344</v>
      </c>
    </row>
    <row r="635" spans="1:21" ht="15">
      <c r="A635" s="34"/>
      <c r="B635" s="33" t="s">
        <v>588</v>
      </c>
      <c r="C635" s="12">
        <v>20</v>
      </c>
      <c r="D635" s="69">
        <f t="shared" ref="D635:U635" si="997">D729</f>
        <v>929</v>
      </c>
      <c r="E635" s="69">
        <f t="shared" ref="E635:F635" si="998">E729</f>
        <v>349</v>
      </c>
      <c r="F635" s="69">
        <f t="shared" si="998"/>
        <v>753</v>
      </c>
      <c r="G635" s="69">
        <f t="shared" si="997"/>
        <v>1000</v>
      </c>
      <c r="H635" s="69">
        <f t="shared" si="997"/>
        <v>753</v>
      </c>
      <c r="I635" s="69">
        <f t="shared" si="997"/>
        <v>1100</v>
      </c>
      <c r="J635" s="69">
        <f t="shared" si="997"/>
        <v>500</v>
      </c>
      <c r="K635" s="69">
        <f t="shared" ref="K635:L635" si="999">K729</f>
        <v>1100</v>
      </c>
      <c r="L635" s="283">
        <f t="shared" si="999"/>
        <v>1100</v>
      </c>
      <c r="M635" s="283">
        <f t="shared" ref="M635:P635" si="1000">M729</f>
        <v>0</v>
      </c>
      <c r="N635" s="283">
        <f t="shared" si="1000"/>
        <v>300</v>
      </c>
      <c r="O635" s="283">
        <f t="shared" si="1000"/>
        <v>500</v>
      </c>
      <c r="P635" s="283">
        <f t="shared" si="1000"/>
        <v>300</v>
      </c>
      <c r="Q635" s="117">
        <f t="shared" si="954"/>
        <v>1100</v>
      </c>
      <c r="R635" s="117">
        <f t="shared" si="955"/>
        <v>0</v>
      </c>
      <c r="S635" s="283">
        <f t="shared" si="997"/>
        <v>1000</v>
      </c>
      <c r="T635" s="283">
        <f t="shared" si="997"/>
        <v>1000</v>
      </c>
      <c r="U635" s="283">
        <f t="shared" si="997"/>
        <v>1000</v>
      </c>
    </row>
    <row r="636" spans="1:21" ht="15">
      <c r="A636" s="34"/>
      <c r="B636" s="33" t="s">
        <v>251</v>
      </c>
      <c r="C636" s="12">
        <v>51</v>
      </c>
      <c r="D636" s="69">
        <f t="shared" ref="D636:U636" si="1001">D646+D657+D678+D688+D697+D706+D719</f>
        <v>41060</v>
      </c>
      <c r="E636" s="153">
        <f>E646+E657+E678+E688+E697+E706+E719+E649+E700</f>
        <v>41539</v>
      </c>
      <c r="F636" s="69">
        <f t="shared" ref="F636" si="1002">F646+F657+F678+F688+F697+F706+F719</f>
        <v>43165.9</v>
      </c>
      <c r="G636" s="69">
        <f t="shared" si="1001"/>
        <v>46417</v>
      </c>
      <c r="H636" s="69">
        <f t="shared" si="1001"/>
        <v>43165.9</v>
      </c>
      <c r="I636" s="69">
        <f t="shared" si="1001"/>
        <v>47467</v>
      </c>
      <c r="J636" s="69">
        <f t="shared" si="1001"/>
        <v>34515</v>
      </c>
      <c r="K636" s="69">
        <f t="shared" ref="K636:L636" si="1003">K646+K657+K678+K688+K697+K706+K719</f>
        <v>44481</v>
      </c>
      <c r="L636" s="283">
        <f t="shared" si="1003"/>
        <v>36304</v>
      </c>
      <c r="M636" s="283">
        <f t="shared" ref="M636:P636" si="1004">M646+M657+M678+M688+M697+M706+M719</f>
        <v>10225</v>
      </c>
      <c r="N636" s="283">
        <f t="shared" si="1004"/>
        <v>9140</v>
      </c>
      <c r="O636" s="283">
        <f t="shared" si="1004"/>
        <v>9075</v>
      </c>
      <c r="P636" s="283">
        <f t="shared" si="1004"/>
        <v>7864</v>
      </c>
      <c r="Q636" s="117">
        <f t="shared" si="954"/>
        <v>36304</v>
      </c>
      <c r="R636" s="117">
        <f t="shared" si="955"/>
        <v>0</v>
      </c>
      <c r="S636" s="283">
        <f t="shared" si="1001"/>
        <v>36344</v>
      </c>
      <c r="T636" s="283">
        <f t="shared" si="1001"/>
        <v>36344</v>
      </c>
      <c r="U636" s="283">
        <f t="shared" si="1001"/>
        <v>36344</v>
      </c>
    </row>
    <row r="637" spans="1:21" ht="15" customHeight="1">
      <c r="A637" s="34"/>
      <c r="B637" s="33" t="s">
        <v>162</v>
      </c>
      <c r="C637" s="12">
        <v>59</v>
      </c>
      <c r="D637" s="69">
        <f t="shared" ref="D637:U637" si="1005">D714+D734</f>
        <v>14160</v>
      </c>
      <c r="E637" s="69">
        <f t="shared" ref="E637:F637" si="1006">E714+E734</f>
        <v>13775</v>
      </c>
      <c r="F637" s="69">
        <f t="shared" si="1006"/>
        <v>15040</v>
      </c>
      <c r="G637" s="69">
        <f t="shared" si="1005"/>
        <v>15040</v>
      </c>
      <c r="H637" s="69">
        <f t="shared" si="1005"/>
        <v>15040</v>
      </c>
      <c r="I637" s="69">
        <f t="shared" si="1005"/>
        <v>14119</v>
      </c>
      <c r="J637" s="69">
        <f t="shared" si="1005"/>
        <v>13919</v>
      </c>
      <c r="K637" s="69">
        <f t="shared" ref="K637:L637" si="1007">K714+K734</f>
        <v>14119</v>
      </c>
      <c r="L637" s="283">
        <f t="shared" si="1007"/>
        <v>15221</v>
      </c>
      <c r="M637" s="283">
        <f t="shared" ref="M637:P637" si="1008">M714+M734</f>
        <v>3600</v>
      </c>
      <c r="N637" s="283">
        <f t="shared" si="1008"/>
        <v>3800</v>
      </c>
      <c r="O637" s="283">
        <f t="shared" si="1008"/>
        <v>3864</v>
      </c>
      <c r="P637" s="283">
        <f t="shared" si="1008"/>
        <v>3957</v>
      </c>
      <c r="Q637" s="117">
        <f t="shared" si="954"/>
        <v>15221</v>
      </c>
      <c r="R637" s="117">
        <f t="shared" si="955"/>
        <v>0</v>
      </c>
      <c r="S637" s="283">
        <f t="shared" si="1005"/>
        <v>17000</v>
      </c>
      <c r="T637" s="283">
        <f t="shared" si="1005"/>
        <v>17000</v>
      </c>
      <c r="U637" s="283">
        <f t="shared" si="1005"/>
        <v>17000</v>
      </c>
    </row>
    <row r="638" spans="1:21" ht="15" customHeight="1">
      <c r="A638" s="34"/>
      <c r="B638" s="33" t="s">
        <v>164</v>
      </c>
      <c r="C638" s="84">
        <v>85.01</v>
      </c>
      <c r="D638" s="73">
        <f t="shared" ref="D638:U638" si="1009">D649+D722</f>
        <v>-8</v>
      </c>
      <c r="E638" s="73">
        <f>E660+E649+E722+E700+E715+E730</f>
        <v>-368</v>
      </c>
      <c r="F638" s="73">
        <f>F649+F722+F700+F715+F730</f>
        <v>-383.21</v>
      </c>
      <c r="G638" s="73">
        <f t="shared" si="1009"/>
        <v>0</v>
      </c>
      <c r="H638" s="73">
        <f>H649+H722+H700+H715+H730</f>
        <v>-383.21</v>
      </c>
      <c r="I638" s="73">
        <f t="shared" si="1009"/>
        <v>0</v>
      </c>
      <c r="J638" s="73">
        <f t="shared" si="1009"/>
        <v>0</v>
      </c>
      <c r="K638" s="73">
        <f t="shared" ref="K638:L638" si="1010">K649+K722</f>
        <v>0</v>
      </c>
      <c r="L638" s="292">
        <f t="shared" si="1010"/>
        <v>0</v>
      </c>
      <c r="M638" s="292">
        <f t="shared" ref="M638:P638" si="1011">M649+M722</f>
        <v>0</v>
      </c>
      <c r="N638" s="292">
        <f t="shared" si="1011"/>
        <v>0</v>
      </c>
      <c r="O638" s="292">
        <f t="shared" si="1011"/>
        <v>0</v>
      </c>
      <c r="P638" s="292">
        <f t="shared" si="1011"/>
        <v>0</v>
      </c>
      <c r="Q638" s="117">
        <f t="shared" si="954"/>
        <v>0</v>
      </c>
      <c r="R638" s="117">
        <f t="shared" si="955"/>
        <v>0</v>
      </c>
      <c r="S638" s="292">
        <f t="shared" si="1009"/>
        <v>0</v>
      </c>
      <c r="T638" s="292">
        <f t="shared" si="1009"/>
        <v>0</v>
      </c>
      <c r="U638" s="292">
        <f t="shared" si="1009"/>
        <v>0</v>
      </c>
    </row>
    <row r="639" spans="1:21" ht="15" customHeight="1">
      <c r="A639" s="34"/>
      <c r="B639" s="26" t="s">
        <v>165</v>
      </c>
      <c r="C639" s="12"/>
      <c r="D639" s="73">
        <f t="shared" ref="D639:U639" si="1012">D651+D661+D664+D670+D682+D692+D701+D709+D723</f>
        <v>2346</v>
      </c>
      <c r="E639" s="73">
        <f t="shared" ref="E639:F639" si="1013">E651+E661+E664+E670+E682+E692+E701+E709+E723</f>
        <v>872</v>
      </c>
      <c r="F639" s="73">
        <f t="shared" si="1013"/>
        <v>932</v>
      </c>
      <c r="G639" s="73">
        <f t="shared" si="1012"/>
        <v>430</v>
      </c>
      <c r="H639" s="73">
        <f t="shared" si="1012"/>
        <v>932</v>
      </c>
      <c r="I639" s="73">
        <f t="shared" si="1012"/>
        <v>2351</v>
      </c>
      <c r="J639" s="73">
        <f t="shared" si="1012"/>
        <v>0</v>
      </c>
      <c r="K639" s="73">
        <f t="shared" ref="K639:L639" si="1014">K651+K661+K664+K670+K682+K692+K701+K709+K723</f>
        <v>2351</v>
      </c>
      <c r="L639" s="292">
        <f t="shared" si="1014"/>
        <v>0</v>
      </c>
      <c r="M639" s="292">
        <f t="shared" ref="M639:P639" si="1015">M651+M661+M664+M670+M682+M692+M701+M709+M723</f>
        <v>0</v>
      </c>
      <c r="N639" s="292">
        <f t="shared" si="1015"/>
        <v>0</v>
      </c>
      <c r="O639" s="292">
        <f t="shared" si="1015"/>
        <v>0</v>
      </c>
      <c r="P639" s="292">
        <f t="shared" si="1015"/>
        <v>0</v>
      </c>
      <c r="Q639" s="117">
        <f t="shared" si="954"/>
        <v>0</v>
      </c>
      <c r="R639" s="117">
        <f t="shared" si="955"/>
        <v>0</v>
      </c>
      <c r="S639" s="292">
        <f t="shared" si="1012"/>
        <v>0</v>
      </c>
      <c r="T639" s="292">
        <f t="shared" si="1012"/>
        <v>0</v>
      </c>
      <c r="U639" s="292">
        <f t="shared" si="1012"/>
        <v>0</v>
      </c>
    </row>
    <row r="640" spans="1:21" ht="14.25" customHeight="1">
      <c r="A640" s="34"/>
      <c r="B640" s="33" t="s">
        <v>171</v>
      </c>
      <c r="C640" s="12">
        <v>51</v>
      </c>
      <c r="D640" s="73">
        <f t="shared" ref="D640:U640" si="1016">D653+D662+D684+D693+D702+D710+D725</f>
        <v>2186</v>
      </c>
      <c r="E640" s="73">
        <f t="shared" ref="E640:F640" si="1017">E653+E662+E684+E693+E702+E710+E725</f>
        <v>766</v>
      </c>
      <c r="F640" s="73">
        <f t="shared" si="1017"/>
        <v>772</v>
      </c>
      <c r="G640" s="73">
        <f t="shared" si="1016"/>
        <v>270</v>
      </c>
      <c r="H640" s="73">
        <f t="shared" si="1016"/>
        <v>772</v>
      </c>
      <c r="I640" s="73">
        <f t="shared" si="1016"/>
        <v>2351</v>
      </c>
      <c r="J640" s="73">
        <f t="shared" si="1016"/>
        <v>0</v>
      </c>
      <c r="K640" s="73">
        <f t="shared" ref="K640:L640" si="1018">K653+K662+K684+K693+K702+K710+K725</f>
        <v>2351</v>
      </c>
      <c r="L640" s="292">
        <f t="shared" si="1018"/>
        <v>0</v>
      </c>
      <c r="M640" s="292">
        <f t="shared" ref="M640:P640" si="1019">M653+M662+M684+M693+M702+M710+M725</f>
        <v>0</v>
      </c>
      <c r="N640" s="292">
        <f t="shared" si="1019"/>
        <v>0</v>
      </c>
      <c r="O640" s="292">
        <f t="shared" si="1019"/>
        <v>0</v>
      </c>
      <c r="P640" s="292">
        <f t="shared" si="1019"/>
        <v>0</v>
      </c>
      <c r="Q640" s="117">
        <f t="shared" si="954"/>
        <v>0</v>
      </c>
      <c r="R640" s="117">
        <f t="shared" si="955"/>
        <v>0</v>
      </c>
      <c r="S640" s="292">
        <f t="shared" si="1016"/>
        <v>0</v>
      </c>
      <c r="T640" s="292">
        <f t="shared" si="1016"/>
        <v>0</v>
      </c>
      <c r="U640" s="292">
        <f t="shared" si="1016"/>
        <v>0</v>
      </c>
    </row>
    <row r="641" spans="1:21" ht="13.5" customHeight="1">
      <c r="A641" s="34"/>
      <c r="B641" s="33" t="s">
        <v>173</v>
      </c>
      <c r="C641" s="12">
        <v>55</v>
      </c>
      <c r="D641" s="73">
        <f t="shared" ref="D641:U641" si="1020">D724</f>
        <v>0</v>
      </c>
      <c r="E641" s="73">
        <f t="shared" ref="E641:F641" si="1021">E724</f>
        <v>0</v>
      </c>
      <c r="F641" s="73">
        <f t="shared" si="1021"/>
        <v>0</v>
      </c>
      <c r="G641" s="73">
        <f t="shared" si="1020"/>
        <v>0</v>
      </c>
      <c r="H641" s="73">
        <f t="shared" si="1020"/>
        <v>0</v>
      </c>
      <c r="I641" s="73">
        <f t="shared" si="1020"/>
        <v>0</v>
      </c>
      <c r="J641" s="73">
        <f t="shared" si="1020"/>
        <v>0</v>
      </c>
      <c r="K641" s="73">
        <f t="shared" ref="K641:L641" si="1022">K724</f>
        <v>0</v>
      </c>
      <c r="L641" s="292">
        <f t="shared" si="1022"/>
        <v>0</v>
      </c>
      <c r="M641" s="292">
        <f t="shared" ref="M641:P641" si="1023">M724</f>
        <v>0</v>
      </c>
      <c r="N641" s="292">
        <f t="shared" si="1023"/>
        <v>0</v>
      </c>
      <c r="O641" s="292">
        <f t="shared" si="1023"/>
        <v>0</v>
      </c>
      <c r="P641" s="292">
        <f t="shared" si="1023"/>
        <v>0</v>
      </c>
      <c r="Q641" s="117">
        <f t="shared" si="954"/>
        <v>0</v>
      </c>
      <c r="R641" s="117">
        <f t="shared" si="955"/>
        <v>0</v>
      </c>
      <c r="S641" s="292">
        <f t="shared" si="1020"/>
        <v>0</v>
      </c>
      <c r="T641" s="292">
        <f t="shared" si="1020"/>
        <v>0</v>
      </c>
      <c r="U641" s="292">
        <f t="shared" si="1020"/>
        <v>0</v>
      </c>
    </row>
    <row r="642" spans="1:21" ht="12" customHeight="1">
      <c r="A642" s="34"/>
      <c r="B642" s="33" t="s">
        <v>174</v>
      </c>
      <c r="C642" s="12">
        <v>56</v>
      </c>
      <c r="D642" s="69">
        <f t="shared" ref="D642:U642" si="1024">D652+D665+D671</f>
        <v>160</v>
      </c>
      <c r="E642" s="69">
        <f t="shared" ref="E642:F642" si="1025">E652+E665+E671</f>
        <v>106</v>
      </c>
      <c r="F642" s="69">
        <f t="shared" si="1025"/>
        <v>160</v>
      </c>
      <c r="G642" s="69">
        <f t="shared" si="1024"/>
        <v>160</v>
      </c>
      <c r="H642" s="69">
        <f t="shared" si="1024"/>
        <v>160</v>
      </c>
      <c r="I642" s="69">
        <f t="shared" si="1024"/>
        <v>0</v>
      </c>
      <c r="J642" s="69">
        <f t="shared" si="1024"/>
        <v>0</v>
      </c>
      <c r="K642" s="69">
        <f t="shared" ref="K642:L642" si="1026">K652+K665+K671</f>
        <v>0</v>
      </c>
      <c r="L642" s="283">
        <f t="shared" si="1026"/>
        <v>0</v>
      </c>
      <c r="M642" s="283">
        <f t="shared" ref="M642:P642" si="1027">M652+M665+M671</f>
        <v>0</v>
      </c>
      <c r="N642" s="283">
        <f t="shared" si="1027"/>
        <v>0</v>
      </c>
      <c r="O642" s="283">
        <f t="shared" si="1027"/>
        <v>0</v>
      </c>
      <c r="P642" s="283">
        <f t="shared" si="1027"/>
        <v>0</v>
      </c>
      <c r="Q642" s="117">
        <f t="shared" si="954"/>
        <v>0</v>
      </c>
      <c r="R642" s="117">
        <f t="shared" si="955"/>
        <v>0</v>
      </c>
      <c r="S642" s="283">
        <f t="shared" si="1024"/>
        <v>0</v>
      </c>
      <c r="T642" s="283">
        <f t="shared" si="1024"/>
        <v>0</v>
      </c>
      <c r="U642" s="283">
        <f t="shared" si="1024"/>
        <v>0</v>
      </c>
    </row>
    <row r="643" spans="1:21" ht="28.5">
      <c r="A643" s="34" t="s">
        <v>305</v>
      </c>
      <c r="B643" s="50" t="s">
        <v>649</v>
      </c>
      <c r="C643" s="12" t="s">
        <v>306</v>
      </c>
      <c r="D643" s="73">
        <f t="shared" ref="D643:U643" si="1028">D644+D651</f>
        <v>5566</v>
      </c>
      <c r="E643" s="73">
        <f t="shared" ref="E643:F643" si="1029">E644+E651</f>
        <v>5754</v>
      </c>
      <c r="F643" s="73">
        <f t="shared" si="1029"/>
        <v>5763</v>
      </c>
      <c r="G643" s="73">
        <f t="shared" si="1028"/>
        <v>6207</v>
      </c>
      <c r="H643" s="73">
        <f t="shared" si="1028"/>
        <v>5763</v>
      </c>
      <c r="I643" s="73">
        <f t="shared" si="1028"/>
        <v>6324</v>
      </c>
      <c r="J643" s="73">
        <f t="shared" si="1028"/>
        <v>5050</v>
      </c>
      <c r="K643" s="73">
        <f t="shared" ref="K643:L643" si="1030">K644+K651</f>
        <v>6216</v>
      </c>
      <c r="L643" s="292">
        <f t="shared" si="1030"/>
        <v>5375</v>
      </c>
      <c r="M643" s="292">
        <f t="shared" ref="M643:P643" si="1031">M644+M651</f>
        <v>1480</v>
      </c>
      <c r="N643" s="292">
        <f t="shared" si="1031"/>
        <v>1355</v>
      </c>
      <c r="O643" s="292">
        <f t="shared" si="1031"/>
        <v>1350</v>
      </c>
      <c r="P643" s="292">
        <f t="shared" si="1031"/>
        <v>1190</v>
      </c>
      <c r="Q643" s="117">
        <f t="shared" si="954"/>
        <v>5375</v>
      </c>
      <c r="R643" s="117">
        <f t="shared" si="955"/>
        <v>0</v>
      </c>
      <c r="S643" s="292">
        <f t="shared" si="1028"/>
        <v>5415</v>
      </c>
      <c r="T643" s="292">
        <f t="shared" si="1028"/>
        <v>5415</v>
      </c>
      <c r="U643" s="292">
        <f t="shared" si="1028"/>
        <v>5415</v>
      </c>
    </row>
    <row r="644" spans="1:21" ht="14.25">
      <c r="A644" s="34"/>
      <c r="B644" s="24" t="s">
        <v>153</v>
      </c>
      <c r="C644" s="12"/>
      <c r="D644" s="73">
        <f t="shared" ref="D644:G644" si="1032">D645+D649</f>
        <v>5341</v>
      </c>
      <c r="E644" s="73">
        <f>E645+E649</f>
        <v>5669</v>
      </c>
      <c r="F644" s="73">
        <f>F645</f>
        <v>5678</v>
      </c>
      <c r="G644" s="73">
        <f t="shared" si="1032"/>
        <v>6122</v>
      </c>
      <c r="H644" s="73">
        <f>H645</f>
        <v>5678</v>
      </c>
      <c r="I644" s="73">
        <f t="shared" ref="I644:U644" si="1033">I645</f>
        <v>6041</v>
      </c>
      <c r="J644" s="73">
        <f t="shared" si="1033"/>
        <v>5050</v>
      </c>
      <c r="K644" s="73">
        <f t="shared" si="1033"/>
        <v>5933</v>
      </c>
      <c r="L644" s="292">
        <f t="shared" si="1033"/>
        <v>5375</v>
      </c>
      <c r="M644" s="292">
        <f t="shared" si="1033"/>
        <v>1480</v>
      </c>
      <c r="N644" s="292">
        <f t="shared" si="1033"/>
        <v>1355</v>
      </c>
      <c r="O644" s="292">
        <f t="shared" si="1033"/>
        <v>1350</v>
      </c>
      <c r="P644" s="292">
        <f t="shared" si="1033"/>
        <v>1190</v>
      </c>
      <c r="Q644" s="117">
        <f t="shared" si="954"/>
        <v>5375</v>
      </c>
      <c r="R644" s="117">
        <f t="shared" si="955"/>
        <v>0</v>
      </c>
      <c r="S644" s="292">
        <f t="shared" si="1033"/>
        <v>5415</v>
      </c>
      <c r="T644" s="292">
        <f t="shared" si="1033"/>
        <v>5415</v>
      </c>
      <c r="U644" s="292">
        <f t="shared" si="1033"/>
        <v>5415</v>
      </c>
    </row>
    <row r="645" spans="1:21" ht="15">
      <c r="A645" s="34"/>
      <c r="B645" s="33" t="s">
        <v>154</v>
      </c>
      <c r="C645" s="12">
        <v>1</v>
      </c>
      <c r="D645" s="69">
        <f t="shared" ref="D645:U645" si="1034">D646</f>
        <v>5349</v>
      </c>
      <c r="E645" s="69">
        <f t="shared" si="1034"/>
        <v>5684</v>
      </c>
      <c r="F645" s="69">
        <f t="shared" si="1034"/>
        <v>5678</v>
      </c>
      <c r="G645" s="69">
        <f t="shared" si="1034"/>
        <v>6122</v>
      </c>
      <c r="H645" s="69">
        <f t="shared" si="1034"/>
        <v>5678</v>
      </c>
      <c r="I645" s="69">
        <f t="shared" si="1034"/>
        <v>6041</v>
      </c>
      <c r="J645" s="69">
        <f t="shared" si="1034"/>
        <v>5050</v>
      </c>
      <c r="K645" s="69">
        <f t="shared" si="1034"/>
        <v>5933</v>
      </c>
      <c r="L645" s="283">
        <f t="shared" si="1034"/>
        <v>5375</v>
      </c>
      <c r="M645" s="283">
        <f t="shared" si="1034"/>
        <v>1480</v>
      </c>
      <c r="N645" s="283">
        <f t="shared" si="1034"/>
        <v>1355</v>
      </c>
      <c r="O645" s="283">
        <f t="shared" si="1034"/>
        <v>1350</v>
      </c>
      <c r="P645" s="283">
        <f t="shared" si="1034"/>
        <v>1190</v>
      </c>
      <c r="Q645" s="117">
        <f t="shared" si="954"/>
        <v>5375</v>
      </c>
      <c r="R645" s="117">
        <f t="shared" si="955"/>
        <v>0</v>
      </c>
      <c r="S645" s="283">
        <f t="shared" si="1034"/>
        <v>5415</v>
      </c>
      <c r="T645" s="283">
        <f t="shared" si="1034"/>
        <v>5415</v>
      </c>
      <c r="U645" s="283">
        <f t="shared" si="1034"/>
        <v>5415</v>
      </c>
    </row>
    <row r="646" spans="1:21" ht="15">
      <c r="A646" s="34"/>
      <c r="B646" s="33" t="s">
        <v>251</v>
      </c>
      <c r="C646" s="12" t="s">
        <v>217</v>
      </c>
      <c r="D646" s="69">
        <f t="shared" ref="D646:U646" si="1035">D647+D648+D650</f>
        <v>5349</v>
      </c>
      <c r="E646" s="69">
        <f>E647+E648+E650</f>
        <v>5684</v>
      </c>
      <c r="F646" s="69">
        <f>F647+F648+F650+F649</f>
        <v>5678</v>
      </c>
      <c r="G646" s="69">
        <f t="shared" si="1035"/>
        <v>6122</v>
      </c>
      <c r="H646" s="69">
        <f>H647+H648+H650+H649</f>
        <v>5678</v>
      </c>
      <c r="I646" s="69">
        <f t="shared" si="1035"/>
        <v>6041</v>
      </c>
      <c r="J646" s="69">
        <f t="shared" si="1035"/>
        <v>5050</v>
      </c>
      <c r="K646" s="69">
        <f t="shared" ref="K646:L646" si="1036">K647+K648+K650</f>
        <v>5933</v>
      </c>
      <c r="L646" s="283">
        <f t="shared" si="1036"/>
        <v>5375</v>
      </c>
      <c r="M646" s="283">
        <f t="shared" ref="M646:P646" si="1037">M647+M648+M650</f>
        <v>1480</v>
      </c>
      <c r="N646" s="283">
        <f t="shared" si="1037"/>
        <v>1355</v>
      </c>
      <c r="O646" s="283">
        <f t="shared" si="1037"/>
        <v>1350</v>
      </c>
      <c r="P646" s="283">
        <f t="shared" si="1037"/>
        <v>1190</v>
      </c>
      <c r="Q646" s="117">
        <f t="shared" si="954"/>
        <v>5375</v>
      </c>
      <c r="R646" s="117">
        <f t="shared" si="955"/>
        <v>0</v>
      </c>
      <c r="S646" s="283">
        <f t="shared" si="1035"/>
        <v>5415</v>
      </c>
      <c r="T646" s="283">
        <f t="shared" si="1035"/>
        <v>5415</v>
      </c>
      <c r="U646" s="283">
        <f t="shared" si="1035"/>
        <v>5415</v>
      </c>
    </row>
    <row r="647" spans="1:21" ht="15" customHeight="1">
      <c r="A647" s="34"/>
      <c r="B647" s="33" t="s">
        <v>155</v>
      </c>
      <c r="C647" s="12">
        <v>10</v>
      </c>
      <c r="D647" s="68">
        <v>3735</v>
      </c>
      <c r="E647" s="205">
        <v>4249</v>
      </c>
      <c r="F647" s="68">
        <v>4256</v>
      </c>
      <c r="G647" s="68">
        <v>4700</v>
      </c>
      <c r="H647" s="68">
        <v>4256</v>
      </c>
      <c r="I647" s="197">
        <v>4568</v>
      </c>
      <c r="J647" s="197">
        <v>4250</v>
      </c>
      <c r="K647" s="197">
        <v>4460</v>
      </c>
      <c r="L647" s="282">
        <v>4460</v>
      </c>
      <c r="M647" s="282">
        <v>1150</v>
      </c>
      <c r="N647" s="282">
        <v>1150</v>
      </c>
      <c r="O647" s="282">
        <v>1150</v>
      </c>
      <c r="P647" s="282">
        <v>1010</v>
      </c>
      <c r="Q647" s="117">
        <f t="shared" si="954"/>
        <v>4460</v>
      </c>
      <c r="R647" s="117">
        <f t="shared" si="955"/>
        <v>0</v>
      </c>
      <c r="S647" s="282">
        <v>4500</v>
      </c>
      <c r="T647" s="282">
        <v>4500</v>
      </c>
      <c r="U647" s="282">
        <v>4500</v>
      </c>
    </row>
    <row r="648" spans="1:21" ht="14.25" customHeight="1">
      <c r="A648" s="34"/>
      <c r="B648" s="33" t="s">
        <v>588</v>
      </c>
      <c r="C648" s="12">
        <v>20</v>
      </c>
      <c r="D648" s="68">
        <v>1605</v>
      </c>
      <c r="E648" s="205">
        <v>1421</v>
      </c>
      <c r="F648" s="68">
        <v>1422.45</v>
      </c>
      <c r="G648" s="68">
        <v>1400</v>
      </c>
      <c r="H648" s="68">
        <v>1422.45</v>
      </c>
      <c r="I648" s="197">
        <v>1458</v>
      </c>
      <c r="J648" s="197">
        <v>800</v>
      </c>
      <c r="K648" s="197">
        <v>1458</v>
      </c>
      <c r="L648" s="282">
        <v>900</v>
      </c>
      <c r="M648" s="282">
        <v>320</v>
      </c>
      <c r="N648" s="282">
        <v>200</v>
      </c>
      <c r="O648" s="282">
        <v>200</v>
      </c>
      <c r="P648" s="282">
        <v>180</v>
      </c>
      <c r="Q648" s="117">
        <f t="shared" si="954"/>
        <v>900</v>
      </c>
      <c r="R648" s="117">
        <f t="shared" si="955"/>
        <v>0</v>
      </c>
      <c r="S648" s="282">
        <v>900</v>
      </c>
      <c r="T648" s="282">
        <v>900</v>
      </c>
      <c r="U648" s="282">
        <v>900</v>
      </c>
    </row>
    <row r="649" spans="1:21" ht="20.25" hidden="1" customHeight="1">
      <c r="A649" s="34"/>
      <c r="B649" s="33" t="s">
        <v>164</v>
      </c>
      <c r="C649" s="12" t="s">
        <v>252</v>
      </c>
      <c r="D649" s="68">
        <v>-8</v>
      </c>
      <c r="E649" s="205">
        <v>-15</v>
      </c>
      <c r="F649" s="68">
        <v>-15.45</v>
      </c>
      <c r="G649" s="68"/>
      <c r="H649" s="68">
        <v>-15.45</v>
      </c>
      <c r="I649" s="197"/>
      <c r="J649" s="197"/>
      <c r="K649" s="197"/>
      <c r="L649" s="282"/>
      <c r="M649" s="282"/>
      <c r="N649" s="282"/>
      <c r="O649" s="282"/>
      <c r="P649" s="282"/>
      <c r="Q649" s="117">
        <f t="shared" si="954"/>
        <v>0</v>
      </c>
      <c r="R649" s="117">
        <f t="shared" si="955"/>
        <v>0</v>
      </c>
      <c r="S649" s="282"/>
      <c r="T649" s="282"/>
      <c r="U649" s="282"/>
    </row>
    <row r="650" spans="1:21" ht="16.5" customHeight="1">
      <c r="A650" s="34"/>
      <c r="B650" s="33" t="s">
        <v>453</v>
      </c>
      <c r="C650" s="12">
        <v>59</v>
      </c>
      <c r="D650" s="68">
        <v>9</v>
      </c>
      <c r="E650" s="205">
        <v>14</v>
      </c>
      <c r="F650" s="68">
        <v>15</v>
      </c>
      <c r="G650" s="68">
        <v>22</v>
      </c>
      <c r="H650" s="68">
        <v>15</v>
      </c>
      <c r="I650" s="197">
        <v>15</v>
      </c>
      <c r="J650" s="197"/>
      <c r="K650" s="197">
        <v>15</v>
      </c>
      <c r="L650" s="282">
        <v>15</v>
      </c>
      <c r="M650" s="282">
        <v>10</v>
      </c>
      <c r="N650" s="282">
        <v>5</v>
      </c>
      <c r="O650" s="282"/>
      <c r="P650" s="282"/>
      <c r="Q650" s="117">
        <f t="shared" si="954"/>
        <v>15</v>
      </c>
      <c r="R650" s="117">
        <f t="shared" si="955"/>
        <v>0</v>
      </c>
      <c r="S650" s="282">
        <v>15</v>
      </c>
      <c r="T650" s="282">
        <v>15</v>
      </c>
      <c r="U650" s="282">
        <v>15</v>
      </c>
    </row>
    <row r="651" spans="1:21" ht="14.25" customHeight="1">
      <c r="A651" s="34"/>
      <c r="B651" s="26" t="s">
        <v>165</v>
      </c>
      <c r="C651" s="12"/>
      <c r="D651" s="69">
        <f t="shared" ref="D651:U651" si="1038">D652+D653</f>
        <v>225</v>
      </c>
      <c r="E651" s="69">
        <f t="shared" ref="E651:F651" si="1039">E652+E653</f>
        <v>85</v>
      </c>
      <c r="F651" s="69">
        <f t="shared" si="1039"/>
        <v>85</v>
      </c>
      <c r="G651" s="69">
        <f t="shared" si="1038"/>
        <v>85</v>
      </c>
      <c r="H651" s="69">
        <f t="shared" si="1038"/>
        <v>85</v>
      </c>
      <c r="I651" s="69">
        <f t="shared" si="1038"/>
        <v>283</v>
      </c>
      <c r="J651" s="69">
        <f t="shared" si="1038"/>
        <v>0</v>
      </c>
      <c r="K651" s="69">
        <f t="shared" ref="K651:L651" si="1040">K652+K653</f>
        <v>283</v>
      </c>
      <c r="L651" s="283">
        <f t="shared" si="1040"/>
        <v>0</v>
      </c>
      <c r="M651" s="283">
        <f t="shared" ref="M651:P651" si="1041">M652+M653</f>
        <v>0</v>
      </c>
      <c r="N651" s="283">
        <f t="shared" si="1041"/>
        <v>0</v>
      </c>
      <c r="O651" s="283">
        <f t="shared" si="1041"/>
        <v>0</v>
      </c>
      <c r="P651" s="283">
        <f t="shared" si="1041"/>
        <v>0</v>
      </c>
      <c r="Q651" s="117">
        <f t="shared" si="954"/>
        <v>0</v>
      </c>
      <c r="R651" s="117">
        <f t="shared" si="955"/>
        <v>0</v>
      </c>
      <c r="S651" s="283">
        <f t="shared" si="1038"/>
        <v>0</v>
      </c>
      <c r="T651" s="283">
        <f t="shared" si="1038"/>
        <v>0</v>
      </c>
      <c r="U651" s="283">
        <f t="shared" si="1038"/>
        <v>0</v>
      </c>
    </row>
    <row r="652" spans="1:21" ht="17.25" customHeight="1">
      <c r="A652" s="34"/>
      <c r="B652" s="16" t="s">
        <v>174</v>
      </c>
      <c r="C652" s="12" t="s">
        <v>307</v>
      </c>
      <c r="D652" s="68"/>
      <c r="E652" s="204"/>
      <c r="F652" s="154"/>
      <c r="G652" s="68"/>
      <c r="H652" s="154"/>
      <c r="I652" s="197"/>
      <c r="J652" s="197"/>
      <c r="K652" s="197"/>
      <c r="L652" s="282"/>
      <c r="M652" s="282"/>
      <c r="N652" s="282"/>
      <c r="O652" s="282"/>
      <c r="P652" s="282"/>
      <c r="Q652" s="117">
        <f t="shared" si="954"/>
        <v>0</v>
      </c>
      <c r="R652" s="117">
        <f t="shared" si="955"/>
        <v>0</v>
      </c>
      <c r="S652" s="282"/>
      <c r="T652" s="282"/>
      <c r="U652" s="282"/>
    </row>
    <row r="653" spans="1:21" ht="15.75" customHeight="1">
      <c r="A653" s="34"/>
      <c r="B653" s="33" t="s">
        <v>171</v>
      </c>
      <c r="C653" s="12" t="s">
        <v>172</v>
      </c>
      <c r="D653" s="68">
        <f>85+140</f>
        <v>225</v>
      </c>
      <c r="E653" s="197">
        <v>85</v>
      </c>
      <c r="F653" s="66">
        <v>85</v>
      </c>
      <c r="G653" s="68">
        <v>85</v>
      </c>
      <c r="H653" s="66">
        <v>85</v>
      </c>
      <c r="I653" s="197">
        <v>283</v>
      </c>
      <c r="J653" s="197"/>
      <c r="K653" s="197">
        <v>283</v>
      </c>
      <c r="L653" s="282">
        <v>0</v>
      </c>
      <c r="M653" s="282">
        <v>0</v>
      </c>
      <c r="N653" s="282">
        <v>0</v>
      </c>
      <c r="O653" s="282">
        <v>0</v>
      </c>
      <c r="P653" s="282">
        <v>0</v>
      </c>
      <c r="Q653" s="117">
        <f t="shared" ref="Q653:Q716" si="1042">M653+N653+O653+P653</f>
        <v>0</v>
      </c>
      <c r="R653" s="117">
        <f t="shared" ref="R653:R716" si="1043">L653-Q653</f>
        <v>0</v>
      </c>
      <c r="S653" s="282"/>
      <c r="T653" s="282">
        <v>0</v>
      </c>
      <c r="U653" s="282">
        <v>0</v>
      </c>
    </row>
    <row r="654" spans="1:21" ht="14.25">
      <c r="A654" s="53" t="s">
        <v>308</v>
      </c>
      <c r="B654" s="52" t="s">
        <v>309</v>
      </c>
      <c r="C654" s="12" t="s">
        <v>310</v>
      </c>
      <c r="D654" s="73">
        <f t="shared" ref="D654:U654" si="1044">D655+D661</f>
        <v>6572</v>
      </c>
      <c r="E654" s="73">
        <f t="shared" ref="E654:F654" si="1045">E655+E661</f>
        <v>6155</v>
      </c>
      <c r="F654" s="73">
        <f t="shared" si="1045"/>
        <v>6439.9</v>
      </c>
      <c r="G654" s="73">
        <f t="shared" si="1044"/>
        <v>6952</v>
      </c>
      <c r="H654" s="73">
        <f t="shared" si="1044"/>
        <v>6439.9</v>
      </c>
      <c r="I654" s="73">
        <f t="shared" si="1044"/>
        <v>7366</v>
      </c>
      <c r="J654" s="73">
        <f t="shared" si="1044"/>
        <v>5200</v>
      </c>
      <c r="K654" s="73">
        <f t="shared" ref="K654:L654" si="1046">K655+K661</f>
        <v>6982</v>
      </c>
      <c r="L654" s="292">
        <f t="shared" si="1046"/>
        <v>5400</v>
      </c>
      <c r="M654" s="292">
        <f t="shared" ref="M654:P654" si="1047">M655+M661</f>
        <v>1310</v>
      </c>
      <c r="N654" s="292">
        <f t="shared" si="1047"/>
        <v>1350</v>
      </c>
      <c r="O654" s="292">
        <f t="shared" si="1047"/>
        <v>1370</v>
      </c>
      <c r="P654" s="292">
        <f t="shared" si="1047"/>
        <v>1370</v>
      </c>
      <c r="Q654" s="117">
        <f t="shared" si="1042"/>
        <v>5400</v>
      </c>
      <c r="R654" s="117">
        <f t="shared" si="1043"/>
        <v>0</v>
      </c>
      <c r="S654" s="292">
        <f t="shared" si="1044"/>
        <v>5400</v>
      </c>
      <c r="T654" s="292">
        <f t="shared" si="1044"/>
        <v>5400</v>
      </c>
      <c r="U654" s="292">
        <f t="shared" si="1044"/>
        <v>5400</v>
      </c>
    </row>
    <row r="655" spans="1:21" ht="14.25">
      <c r="A655" s="34"/>
      <c r="B655" s="24" t="s">
        <v>153</v>
      </c>
      <c r="C655" s="12"/>
      <c r="D655" s="73">
        <f t="shared" ref="D655:U656" si="1048">D656</f>
        <v>6355</v>
      </c>
      <c r="E655" s="73">
        <f>E656+E660</f>
        <v>6103</v>
      </c>
      <c r="F655" s="73">
        <f t="shared" si="1048"/>
        <v>6387.9</v>
      </c>
      <c r="G655" s="73">
        <f t="shared" si="1048"/>
        <v>6900</v>
      </c>
      <c r="H655" s="73">
        <f t="shared" si="1048"/>
        <v>6387.9</v>
      </c>
      <c r="I655" s="73">
        <f t="shared" si="1048"/>
        <v>7216</v>
      </c>
      <c r="J655" s="73">
        <f t="shared" si="1048"/>
        <v>5200</v>
      </c>
      <c r="K655" s="73">
        <f t="shared" si="1048"/>
        <v>6832</v>
      </c>
      <c r="L655" s="292">
        <f t="shared" si="1048"/>
        <v>5400</v>
      </c>
      <c r="M655" s="292">
        <f t="shared" si="1048"/>
        <v>1310</v>
      </c>
      <c r="N655" s="292">
        <f t="shared" si="1048"/>
        <v>1350</v>
      </c>
      <c r="O655" s="292">
        <f t="shared" si="1048"/>
        <v>1370</v>
      </c>
      <c r="P655" s="292">
        <f t="shared" si="1048"/>
        <v>1370</v>
      </c>
      <c r="Q655" s="117">
        <f t="shared" si="1042"/>
        <v>5400</v>
      </c>
      <c r="R655" s="117">
        <f t="shared" si="1043"/>
        <v>0</v>
      </c>
      <c r="S655" s="292">
        <f t="shared" si="1048"/>
        <v>5400</v>
      </c>
      <c r="T655" s="292">
        <f t="shared" si="1048"/>
        <v>5400</v>
      </c>
      <c r="U655" s="292">
        <f t="shared" si="1048"/>
        <v>5400</v>
      </c>
    </row>
    <row r="656" spans="1:21" ht="15">
      <c r="A656" s="34"/>
      <c r="B656" s="33" t="s">
        <v>154</v>
      </c>
      <c r="C656" s="12">
        <v>1</v>
      </c>
      <c r="D656" s="69">
        <f t="shared" si="1048"/>
        <v>6355</v>
      </c>
      <c r="E656" s="69">
        <f t="shared" si="1048"/>
        <v>6103</v>
      </c>
      <c r="F656" s="69">
        <f t="shared" si="1048"/>
        <v>6387.9</v>
      </c>
      <c r="G656" s="69">
        <f t="shared" si="1048"/>
        <v>6900</v>
      </c>
      <c r="H656" s="69">
        <f t="shared" si="1048"/>
        <v>6387.9</v>
      </c>
      <c r="I656" s="69">
        <f t="shared" si="1048"/>
        <v>7216</v>
      </c>
      <c r="J656" s="69">
        <f t="shared" si="1048"/>
        <v>5200</v>
      </c>
      <c r="K656" s="69">
        <f t="shared" si="1048"/>
        <v>6832</v>
      </c>
      <c r="L656" s="283">
        <f t="shared" si="1048"/>
        <v>5400</v>
      </c>
      <c r="M656" s="283">
        <f t="shared" si="1048"/>
        <v>1310</v>
      </c>
      <c r="N656" s="283">
        <f t="shared" si="1048"/>
        <v>1350</v>
      </c>
      <c r="O656" s="283">
        <f t="shared" si="1048"/>
        <v>1370</v>
      </c>
      <c r="P656" s="283">
        <f t="shared" si="1048"/>
        <v>1370</v>
      </c>
      <c r="Q656" s="117">
        <f t="shared" si="1042"/>
        <v>5400</v>
      </c>
      <c r="R656" s="117">
        <f t="shared" si="1043"/>
        <v>0</v>
      </c>
      <c r="S656" s="283">
        <f t="shared" si="1048"/>
        <v>5400</v>
      </c>
      <c r="T656" s="283">
        <f t="shared" si="1048"/>
        <v>5400</v>
      </c>
      <c r="U656" s="283">
        <f t="shared" si="1048"/>
        <v>5400</v>
      </c>
    </row>
    <row r="657" spans="1:21" ht="15">
      <c r="A657" s="34"/>
      <c r="B657" s="33" t="s">
        <v>251</v>
      </c>
      <c r="C657" s="12" t="s">
        <v>217</v>
      </c>
      <c r="D657" s="69">
        <f t="shared" ref="D657:U657" si="1049">D658+D659</f>
        <v>6355</v>
      </c>
      <c r="E657" s="69">
        <f t="shared" ref="E657:F657" si="1050">E658+E659</f>
        <v>6103</v>
      </c>
      <c r="F657" s="69">
        <f t="shared" si="1050"/>
        <v>6387.9</v>
      </c>
      <c r="G657" s="69">
        <f t="shared" si="1049"/>
        <v>6900</v>
      </c>
      <c r="H657" s="69">
        <f t="shared" si="1049"/>
        <v>6387.9</v>
      </c>
      <c r="I657" s="69">
        <f t="shared" si="1049"/>
        <v>7216</v>
      </c>
      <c r="J657" s="69">
        <f t="shared" si="1049"/>
        <v>5200</v>
      </c>
      <c r="K657" s="69">
        <f t="shared" ref="K657:L657" si="1051">K658+K659</f>
        <v>6832</v>
      </c>
      <c r="L657" s="283">
        <f t="shared" si="1051"/>
        <v>5400</v>
      </c>
      <c r="M657" s="283">
        <f t="shared" ref="M657:P657" si="1052">M658+M659</f>
        <v>1310</v>
      </c>
      <c r="N657" s="283">
        <f t="shared" si="1052"/>
        <v>1350</v>
      </c>
      <c r="O657" s="283">
        <f t="shared" si="1052"/>
        <v>1370</v>
      </c>
      <c r="P657" s="283">
        <f t="shared" si="1052"/>
        <v>1370</v>
      </c>
      <c r="Q657" s="117">
        <f t="shared" si="1042"/>
        <v>5400</v>
      </c>
      <c r="R657" s="117">
        <f t="shared" si="1043"/>
        <v>0</v>
      </c>
      <c r="S657" s="283">
        <f t="shared" si="1049"/>
        <v>5400</v>
      </c>
      <c r="T657" s="283">
        <f t="shared" si="1049"/>
        <v>5400</v>
      </c>
      <c r="U657" s="283">
        <f t="shared" si="1049"/>
        <v>5400</v>
      </c>
    </row>
    <row r="658" spans="1:21" ht="14.25" customHeight="1">
      <c r="A658" s="34"/>
      <c r="B658" s="33" t="s">
        <v>155</v>
      </c>
      <c r="C658" s="12">
        <v>10</v>
      </c>
      <c r="D658" s="68">
        <v>3285</v>
      </c>
      <c r="E658" s="197">
        <v>3614</v>
      </c>
      <c r="F658" s="68">
        <v>3752.9</v>
      </c>
      <c r="G658" s="68">
        <v>4200</v>
      </c>
      <c r="H658" s="68">
        <v>3752.9</v>
      </c>
      <c r="I658" s="197">
        <v>4300</v>
      </c>
      <c r="J658" s="197">
        <v>3700</v>
      </c>
      <c r="K658" s="197">
        <v>4135</v>
      </c>
      <c r="L658" s="282">
        <v>3400</v>
      </c>
      <c r="M658" s="282">
        <v>840</v>
      </c>
      <c r="N658" s="282">
        <v>850</v>
      </c>
      <c r="O658" s="282">
        <v>850</v>
      </c>
      <c r="P658" s="282">
        <v>860</v>
      </c>
      <c r="Q658" s="117">
        <f t="shared" si="1042"/>
        <v>3400</v>
      </c>
      <c r="R658" s="117">
        <f t="shared" si="1043"/>
        <v>0</v>
      </c>
      <c r="S658" s="282">
        <v>3400</v>
      </c>
      <c r="T658" s="282">
        <v>3400</v>
      </c>
      <c r="U658" s="282">
        <v>3400</v>
      </c>
    </row>
    <row r="659" spans="1:21" ht="15" customHeight="1">
      <c r="A659" s="34"/>
      <c r="B659" s="33" t="s">
        <v>588</v>
      </c>
      <c r="C659" s="12">
        <v>20</v>
      </c>
      <c r="D659" s="68">
        <v>3070</v>
      </c>
      <c r="E659" s="197">
        <v>2489</v>
      </c>
      <c r="F659" s="68">
        <v>2635</v>
      </c>
      <c r="G659" s="68">
        <v>2700</v>
      </c>
      <c r="H659" s="68">
        <v>2635</v>
      </c>
      <c r="I659" s="197">
        <v>2916</v>
      </c>
      <c r="J659" s="197">
        <v>1500</v>
      </c>
      <c r="K659" s="197">
        <v>2697</v>
      </c>
      <c r="L659" s="282">
        <v>2000</v>
      </c>
      <c r="M659" s="282">
        <v>470</v>
      </c>
      <c r="N659" s="282">
        <v>500</v>
      </c>
      <c r="O659" s="282">
        <v>520</v>
      </c>
      <c r="P659" s="282">
        <v>510</v>
      </c>
      <c r="Q659" s="117">
        <f t="shared" si="1042"/>
        <v>2000</v>
      </c>
      <c r="R659" s="117">
        <f t="shared" si="1043"/>
        <v>0</v>
      </c>
      <c r="S659" s="282">
        <v>2000</v>
      </c>
      <c r="T659" s="282">
        <v>2000</v>
      </c>
      <c r="U659" s="282">
        <v>2000</v>
      </c>
    </row>
    <row r="660" spans="1:21" ht="13.5" hidden="1" customHeight="1">
      <c r="A660" s="34"/>
      <c r="B660" s="33" t="s">
        <v>164</v>
      </c>
      <c r="C660" s="12" t="s">
        <v>252</v>
      </c>
      <c r="D660" s="68"/>
      <c r="E660" s="197"/>
      <c r="F660" s="68"/>
      <c r="G660" s="68"/>
      <c r="H660" s="68"/>
      <c r="I660" s="197"/>
      <c r="J660" s="197"/>
      <c r="K660" s="197"/>
      <c r="L660" s="282"/>
      <c r="M660" s="282"/>
      <c r="N660" s="282"/>
      <c r="O660" s="282"/>
      <c r="P660" s="282"/>
      <c r="Q660" s="117">
        <f t="shared" si="1042"/>
        <v>0</v>
      </c>
      <c r="R660" s="117">
        <f t="shared" si="1043"/>
        <v>0</v>
      </c>
      <c r="S660" s="282"/>
      <c r="T660" s="282"/>
      <c r="U660" s="282"/>
    </row>
    <row r="661" spans="1:21" ht="15" hidden="1" customHeight="1">
      <c r="A661" s="34"/>
      <c r="B661" s="26" t="s">
        <v>165</v>
      </c>
      <c r="C661" s="12"/>
      <c r="D661" s="69">
        <f>D662</f>
        <v>217</v>
      </c>
      <c r="E661" s="69">
        <f t="shared" ref="E661:U661" si="1053">E662</f>
        <v>52</v>
      </c>
      <c r="F661" s="69">
        <f t="shared" si="1053"/>
        <v>52</v>
      </c>
      <c r="G661" s="69">
        <f t="shared" si="1053"/>
        <v>52</v>
      </c>
      <c r="H661" s="69">
        <f t="shared" si="1053"/>
        <v>52</v>
      </c>
      <c r="I661" s="69">
        <f t="shared" si="1053"/>
        <v>150</v>
      </c>
      <c r="J661" s="69">
        <f t="shared" si="1053"/>
        <v>0</v>
      </c>
      <c r="K661" s="69">
        <f t="shared" si="1053"/>
        <v>150</v>
      </c>
      <c r="L661" s="283">
        <f t="shared" si="1053"/>
        <v>0</v>
      </c>
      <c r="M661" s="283">
        <f t="shared" si="1053"/>
        <v>0</v>
      </c>
      <c r="N661" s="283">
        <f t="shared" si="1053"/>
        <v>0</v>
      </c>
      <c r="O661" s="283">
        <f t="shared" si="1053"/>
        <v>0</v>
      </c>
      <c r="P661" s="283">
        <f t="shared" si="1053"/>
        <v>0</v>
      </c>
      <c r="Q661" s="117">
        <f t="shared" si="1042"/>
        <v>0</v>
      </c>
      <c r="R661" s="117">
        <f t="shared" si="1043"/>
        <v>0</v>
      </c>
      <c r="S661" s="283">
        <f t="shared" si="1053"/>
        <v>0</v>
      </c>
      <c r="T661" s="283">
        <f t="shared" si="1053"/>
        <v>0</v>
      </c>
      <c r="U661" s="283">
        <f t="shared" si="1053"/>
        <v>0</v>
      </c>
    </row>
    <row r="662" spans="1:21" ht="15.75" hidden="1" customHeight="1">
      <c r="A662" s="21"/>
      <c r="B662" s="33" t="s">
        <v>171</v>
      </c>
      <c r="C662" s="12" t="s">
        <v>172</v>
      </c>
      <c r="D662" s="68">
        <v>217</v>
      </c>
      <c r="E662" s="197">
        <v>52</v>
      </c>
      <c r="F662" s="68">
        <v>52</v>
      </c>
      <c r="G662" s="68">
        <f>152-100</f>
        <v>52</v>
      </c>
      <c r="H662" s="68">
        <v>52</v>
      </c>
      <c r="I662" s="197">
        <v>150</v>
      </c>
      <c r="J662" s="197"/>
      <c r="K662" s="197">
        <v>150</v>
      </c>
      <c r="L662" s="282">
        <v>0</v>
      </c>
      <c r="M662" s="282">
        <v>0</v>
      </c>
      <c r="N662" s="282">
        <v>0</v>
      </c>
      <c r="O662" s="282">
        <v>0</v>
      </c>
      <c r="P662" s="282">
        <v>0</v>
      </c>
      <c r="Q662" s="117">
        <f t="shared" si="1042"/>
        <v>0</v>
      </c>
      <c r="R662" s="117">
        <f t="shared" si="1043"/>
        <v>0</v>
      </c>
      <c r="S662" s="282">
        <v>0</v>
      </c>
      <c r="T662" s="282">
        <v>0</v>
      </c>
      <c r="U662" s="282">
        <v>0</v>
      </c>
    </row>
    <row r="663" spans="1:21" ht="29.25" hidden="1" customHeight="1">
      <c r="A663" s="21">
        <v>3.3</v>
      </c>
      <c r="B663" s="31" t="s">
        <v>311</v>
      </c>
      <c r="C663" s="12" t="s">
        <v>312</v>
      </c>
      <c r="D663" s="73">
        <f t="shared" ref="D663:H664" si="1054">D664</f>
        <v>0</v>
      </c>
      <c r="E663" s="197"/>
      <c r="F663" s="73">
        <f t="shared" si="1054"/>
        <v>0</v>
      </c>
      <c r="G663" s="73">
        <f t="shared" si="1054"/>
        <v>0</v>
      </c>
      <c r="H663" s="73">
        <f t="shared" si="1054"/>
        <v>0</v>
      </c>
      <c r="I663" s="197"/>
      <c r="J663" s="197"/>
      <c r="K663" s="197"/>
      <c r="L663" s="282"/>
      <c r="M663" s="282"/>
      <c r="N663" s="282"/>
      <c r="O663" s="282"/>
      <c r="P663" s="282"/>
      <c r="Q663" s="117">
        <f t="shared" si="1042"/>
        <v>0</v>
      </c>
      <c r="R663" s="117">
        <f t="shared" si="1043"/>
        <v>0</v>
      </c>
      <c r="S663" s="282"/>
      <c r="T663" s="282"/>
      <c r="U663" s="282"/>
    </row>
    <row r="664" spans="1:21" ht="18.75" hidden="1" customHeight="1">
      <c r="A664" s="21"/>
      <c r="B664" s="26" t="s">
        <v>165</v>
      </c>
      <c r="C664" s="12"/>
      <c r="D664" s="69">
        <f t="shared" si="1054"/>
        <v>0</v>
      </c>
      <c r="E664" s="197"/>
      <c r="F664" s="69">
        <f t="shared" si="1054"/>
        <v>0</v>
      </c>
      <c r="G664" s="69">
        <f t="shared" si="1054"/>
        <v>0</v>
      </c>
      <c r="H664" s="69">
        <f t="shared" si="1054"/>
        <v>0</v>
      </c>
      <c r="I664" s="197"/>
      <c r="J664" s="197"/>
      <c r="K664" s="197"/>
      <c r="L664" s="282"/>
      <c r="M664" s="282"/>
      <c r="N664" s="282"/>
      <c r="O664" s="282"/>
      <c r="P664" s="282"/>
      <c r="Q664" s="117">
        <f t="shared" si="1042"/>
        <v>0</v>
      </c>
      <c r="R664" s="117">
        <f t="shared" si="1043"/>
        <v>0</v>
      </c>
      <c r="S664" s="282"/>
      <c r="T664" s="282"/>
      <c r="U664" s="282"/>
    </row>
    <row r="665" spans="1:21" ht="18.75" hidden="1" customHeight="1">
      <c r="A665" s="21"/>
      <c r="B665" s="33" t="s">
        <v>174</v>
      </c>
      <c r="C665" s="12">
        <v>56</v>
      </c>
      <c r="D665" s="69">
        <f t="shared" ref="D665:H665" si="1055">D666+D667+D668</f>
        <v>0</v>
      </c>
      <c r="E665" s="197"/>
      <c r="F665" s="69">
        <f t="shared" ref="F665" si="1056">F666+F667+F668</f>
        <v>0</v>
      </c>
      <c r="G665" s="69">
        <f t="shared" si="1055"/>
        <v>0</v>
      </c>
      <c r="H665" s="69">
        <f t="shared" si="1055"/>
        <v>0</v>
      </c>
      <c r="I665" s="197"/>
      <c r="J665" s="197"/>
      <c r="K665" s="197"/>
      <c r="L665" s="282"/>
      <c r="M665" s="282"/>
      <c r="N665" s="282"/>
      <c r="O665" s="282"/>
      <c r="P665" s="282"/>
      <c r="Q665" s="117">
        <f t="shared" si="1042"/>
        <v>0</v>
      </c>
      <c r="R665" s="117">
        <f t="shared" si="1043"/>
        <v>0</v>
      </c>
      <c r="S665" s="282"/>
      <c r="T665" s="282"/>
      <c r="U665" s="282"/>
    </row>
    <row r="666" spans="1:21" ht="0.75" hidden="1" customHeight="1">
      <c r="A666" s="21"/>
      <c r="B666" s="33" t="s">
        <v>313</v>
      </c>
      <c r="C666" s="12" t="s">
        <v>206</v>
      </c>
      <c r="D666" s="68"/>
      <c r="E666" s="197"/>
      <c r="F666" s="68"/>
      <c r="G666" s="68"/>
      <c r="H666" s="68"/>
      <c r="I666" s="197"/>
      <c r="J666" s="197"/>
      <c r="K666" s="197"/>
      <c r="L666" s="282"/>
      <c r="M666" s="282"/>
      <c r="N666" s="282"/>
      <c r="O666" s="282"/>
      <c r="P666" s="282"/>
      <c r="Q666" s="117">
        <f t="shared" si="1042"/>
        <v>0</v>
      </c>
      <c r="R666" s="117">
        <f t="shared" si="1043"/>
        <v>0</v>
      </c>
      <c r="S666" s="282"/>
      <c r="T666" s="282"/>
      <c r="U666" s="282"/>
    </row>
    <row r="667" spans="1:21" ht="19.5" hidden="1" customHeight="1">
      <c r="A667" s="21"/>
      <c r="B667" s="33" t="s">
        <v>210</v>
      </c>
      <c r="C667" s="12" t="s">
        <v>209</v>
      </c>
      <c r="D667" s="130"/>
      <c r="E667" s="197"/>
      <c r="F667" s="130"/>
      <c r="G667" s="130"/>
      <c r="H667" s="130"/>
      <c r="I667" s="197"/>
      <c r="J667" s="197"/>
      <c r="K667" s="197"/>
      <c r="L667" s="282"/>
      <c r="M667" s="282"/>
      <c r="N667" s="282"/>
      <c r="O667" s="282"/>
      <c r="P667" s="282"/>
      <c r="Q667" s="117">
        <f t="shared" si="1042"/>
        <v>0</v>
      </c>
      <c r="R667" s="117">
        <f t="shared" si="1043"/>
        <v>0</v>
      </c>
      <c r="S667" s="282"/>
      <c r="T667" s="282"/>
      <c r="U667" s="282"/>
    </row>
    <row r="668" spans="1:21" ht="13.5" hidden="1" customHeight="1">
      <c r="A668" s="21"/>
      <c r="B668" s="16" t="s">
        <v>174</v>
      </c>
      <c r="C668" s="12" t="s">
        <v>209</v>
      </c>
      <c r="D668" s="68"/>
      <c r="E668" s="197"/>
      <c r="F668" s="68"/>
      <c r="G668" s="68"/>
      <c r="H668" s="68"/>
      <c r="I668" s="197"/>
      <c r="J668" s="197"/>
      <c r="K668" s="197"/>
      <c r="L668" s="282"/>
      <c r="M668" s="282"/>
      <c r="N668" s="282"/>
      <c r="O668" s="282"/>
      <c r="P668" s="282"/>
      <c r="Q668" s="117">
        <f t="shared" si="1042"/>
        <v>0</v>
      </c>
      <c r="R668" s="117">
        <f t="shared" si="1043"/>
        <v>0</v>
      </c>
      <c r="S668" s="282"/>
      <c r="T668" s="282"/>
      <c r="U668" s="282"/>
    </row>
    <row r="669" spans="1:21" ht="33.75" hidden="1" customHeight="1">
      <c r="A669" s="54" t="s">
        <v>536</v>
      </c>
      <c r="B669" s="55" t="s">
        <v>314</v>
      </c>
      <c r="C669" s="97" t="s">
        <v>315</v>
      </c>
      <c r="D669" s="73">
        <f t="shared" ref="D669:U670" si="1057">D670</f>
        <v>160</v>
      </c>
      <c r="E669" s="73">
        <f t="shared" si="1057"/>
        <v>106</v>
      </c>
      <c r="F669" s="73">
        <f t="shared" si="1057"/>
        <v>160</v>
      </c>
      <c r="G669" s="73">
        <f t="shared" si="1057"/>
        <v>160</v>
      </c>
      <c r="H669" s="73">
        <f t="shared" si="1057"/>
        <v>160</v>
      </c>
      <c r="I669" s="73">
        <f t="shared" si="1057"/>
        <v>0</v>
      </c>
      <c r="J669" s="73">
        <f t="shared" si="1057"/>
        <v>0</v>
      </c>
      <c r="K669" s="73">
        <f t="shared" si="1057"/>
        <v>0</v>
      </c>
      <c r="L669" s="292">
        <f t="shared" si="1057"/>
        <v>0</v>
      </c>
      <c r="M669" s="292">
        <f t="shared" si="1057"/>
        <v>0</v>
      </c>
      <c r="N669" s="292">
        <f t="shared" si="1057"/>
        <v>0</v>
      </c>
      <c r="O669" s="292">
        <f t="shared" si="1057"/>
        <v>0</v>
      </c>
      <c r="P669" s="292">
        <f t="shared" si="1057"/>
        <v>0</v>
      </c>
      <c r="Q669" s="117">
        <f t="shared" si="1042"/>
        <v>0</v>
      </c>
      <c r="R669" s="117">
        <f t="shared" si="1043"/>
        <v>0</v>
      </c>
      <c r="S669" s="292">
        <f t="shared" si="1057"/>
        <v>0</v>
      </c>
      <c r="T669" s="292">
        <f t="shared" si="1057"/>
        <v>0</v>
      </c>
      <c r="U669" s="292">
        <f t="shared" si="1057"/>
        <v>0</v>
      </c>
    </row>
    <row r="670" spans="1:21" ht="13.5" hidden="1" customHeight="1">
      <c r="A670" s="21"/>
      <c r="B670" s="26" t="s">
        <v>165</v>
      </c>
      <c r="C670" s="12"/>
      <c r="D670" s="73">
        <f t="shared" si="1057"/>
        <v>160</v>
      </c>
      <c r="E670" s="73">
        <f t="shared" si="1057"/>
        <v>106</v>
      </c>
      <c r="F670" s="73">
        <f t="shared" si="1057"/>
        <v>160</v>
      </c>
      <c r="G670" s="73">
        <f t="shared" si="1057"/>
        <v>160</v>
      </c>
      <c r="H670" s="73">
        <f t="shared" si="1057"/>
        <v>160</v>
      </c>
      <c r="I670" s="73">
        <f t="shared" si="1057"/>
        <v>0</v>
      </c>
      <c r="J670" s="73">
        <f t="shared" si="1057"/>
        <v>0</v>
      </c>
      <c r="K670" s="73">
        <f t="shared" si="1057"/>
        <v>0</v>
      </c>
      <c r="L670" s="292">
        <f t="shared" si="1057"/>
        <v>0</v>
      </c>
      <c r="M670" s="292">
        <f t="shared" si="1057"/>
        <v>0</v>
      </c>
      <c r="N670" s="292">
        <f t="shared" si="1057"/>
        <v>0</v>
      </c>
      <c r="O670" s="292">
        <f t="shared" si="1057"/>
        <v>0</v>
      </c>
      <c r="P670" s="292">
        <f t="shared" si="1057"/>
        <v>0</v>
      </c>
      <c r="Q670" s="117">
        <f t="shared" si="1042"/>
        <v>0</v>
      </c>
      <c r="R670" s="117">
        <f t="shared" si="1043"/>
        <v>0</v>
      </c>
      <c r="S670" s="292">
        <f t="shared" si="1057"/>
        <v>0</v>
      </c>
      <c r="T670" s="292">
        <f t="shared" si="1057"/>
        <v>0</v>
      </c>
      <c r="U670" s="292">
        <f t="shared" si="1057"/>
        <v>0</v>
      </c>
    </row>
    <row r="671" spans="1:21" ht="15.75" hidden="1" customHeight="1">
      <c r="A671" s="21"/>
      <c r="B671" s="33" t="s">
        <v>174</v>
      </c>
      <c r="C671" s="12">
        <v>56</v>
      </c>
      <c r="D671" s="69">
        <f t="shared" ref="D671:U671" si="1058">D672+D673+D674</f>
        <v>160</v>
      </c>
      <c r="E671" s="69">
        <f t="shared" ref="E671:F671" si="1059">E672+E673+E674</f>
        <v>106</v>
      </c>
      <c r="F671" s="69">
        <f t="shared" si="1059"/>
        <v>160</v>
      </c>
      <c r="G671" s="69">
        <f t="shared" si="1058"/>
        <v>160</v>
      </c>
      <c r="H671" s="69">
        <f t="shared" si="1058"/>
        <v>160</v>
      </c>
      <c r="I671" s="69">
        <f t="shared" si="1058"/>
        <v>0</v>
      </c>
      <c r="J671" s="69">
        <f t="shared" si="1058"/>
        <v>0</v>
      </c>
      <c r="K671" s="69">
        <f t="shared" ref="K671:L671" si="1060">K672+K673+K674</f>
        <v>0</v>
      </c>
      <c r="L671" s="283">
        <f t="shared" si="1060"/>
        <v>0</v>
      </c>
      <c r="M671" s="283">
        <f t="shared" ref="M671:P671" si="1061">M672+M673+M674</f>
        <v>0</v>
      </c>
      <c r="N671" s="283">
        <f t="shared" si="1061"/>
        <v>0</v>
      </c>
      <c r="O671" s="283">
        <f t="shared" si="1061"/>
        <v>0</v>
      </c>
      <c r="P671" s="283">
        <f t="shared" si="1061"/>
        <v>0</v>
      </c>
      <c r="Q671" s="117">
        <f t="shared" si="1042"/>
        <v>0</v>
      </c>
      <c r="R671" s="117">
        <f t="shared" si="1043"/>
        <v>0</v>
      </c>
      <c r="S671" s="283">
        <f t="shared" si="1058"/>
        <v>0</v>
      </c>
      <c r="T671" s="283">
        <f t="shared" si="1058"/>
        <v>0</v>
      </c>
      <c r="U671" s="283">
        <f t="shared" si="1058"/>
        <v>0</v>
      </c>
    </row>
    <row r="672" spans="1:21" ht="13.5" hidden="1" customHeight="1">
      <c r="A672" s="21"/>
      <c r="B672" s="33" t="s">
        <v>313</v>
      </c>
      <c r="C672" s="12" t="s">
        <v>206</v>
      </c>
      <c r="D672" s="68"/>
      <c r="E672" s="197"/>
      <c r="F672" s="68"/>
      <c r="G672" s="68"/>
      <c r="H672" s="68"/>
      <c r="I672" s="197"/>
      <c r="J672" s="197"/>
      <c r="K672" s="197"/>
      <c r="L672" s="282"/>
      <c r="M672" s="282"/>
      <c r="N672" s="282"/>
      <c r="O672" s="282"/>
      <c r="P672" s="282"/>
      <c r="Q672" s="117">
        <f t="shared" si="1042"/>
        <v>0</v>
      </c>
      <c r="R672" s="117">
        <f t="shared" si="1043"/>
        <v>0</v>
      </c>
      <c r="S672" s="282"/>
      <c r="T672" s="282"/>
      <c r="U672" s="282"/>
    </row>
    <row r="673" spans="1:21" ht="13.5" hidden="1" customHeight="1">
      <c r="A673" s="21"/>
      <c r="B673" s="33" t="s">
        <v>316</v>
      </c>
      <c r="C673" s="12" t="s">
        <v>208</v>
      </c>
      <c r="D673" s="68"/>
      <c r="E673" s="197"/>
      <c r="F673" s="68"/>
      <c r="G673" s="68"/>
      <c r="H673" s="68"/>
      <c r="I673" s="197"/>
      <c r="J673" s="197"/>
      <c r="K673" s="197"/>
      <c r="L673" s="282"/>
      <c r="M673" s="282"/>
      <c r="N673" s="282"/>
      <c r="O673" s="282"/>
      <c r="P673" s="282"/>
      <c r="Q673" s="117">
        <f t="shared" si="1042"/>
        <v>0</v>
      </c>
      <c r="R673" s="117">
        <f t="shared" si="1043"/>
        <v>0</v>
      </c>
      <c r="S673" s="282"/>
      <c r="T673" s="282"/>
      <c r="U673" s="282"/>
    </row>
    <row r="674" spans="1:21" ht="19.5" hidden="1" customHeight="1">
      <c r="A674" s="21"/>
      <c r="B674" s="16" t="s">
        <v>210</v>
      </c>
      <c r="C674" s="12" t="s">
        <v>209</v>
      </c>
      <c r="D674" s="66">
        <v>160</v>
      </c>
      <c r="E674" s="197">
        <v>106</v>
      </c>
      <c r="F674" s="68">
        <v>160</v>
      </c>
      <c r="G674" s="68">
        <v>160</v>
      </c>
      <c r="H674" s="68">
        <v>160</v>
      </c>
      <c r="I674" s="197"/>
      <c r="J674" s="197"/>
      <c r="K674" s="197"/>
      <c r="L674" s="282"/>
      <c r="M674" s="282"/>
      <c r="N674" s="282"/>
      <c r="O674" s="282"/>
      <c r="P674" s="282"/>
      <c r="Q674" s="117">
        <f t="shared" si="1042"/>
        <v>0</v>
      </c>
      <c r="R674" s="117">
        <f t="shared" si="1043"/>
        <v>0</v>
      </c>
      <c r="S674" s="282"/>
      <c r="T674" s="282"/>
      <c r="U674" s="282"/>
    </row>
    <row r="675" spans="1:21" ht="28.5">
      <c r="A675" s="53" t="s">
        <v>537</v>
      </c>
      <c r="B675" s="50" t="s">
        <v>317</v>
      </c>
      <c r="C675" s="12" t="s">
        <v>318</v>
      </c>
      <c r="D675" s="73">
        <f t="shared" ref="D675:U675" si="1062">D676+D682</f>
        <v>8087</v>
      </c>
      <c r="E675" s="73">
        <f t="shared" ref="E675:F675" si="1063">E676+E682</f>
        <v>7287</v>
      </c>
      <c r="F675" s="73">
        <f t="shared" si="1063"/>
        <v>7677</v>
      </c>
      <c r="G675" s="73">
        <f t="shared" si="1062"/>
        <v>8870</v>
      </c>
      <c r="H675" s="73">
        <f t="shared" si="1062"/>
        <v>7677</v>
      </c>
      <c r="I675" s="73">
        <f t="shared" si="1062"/>
        <v>8310</v>
      </c>
      <c r="J675" s="73">
        <f t="shared" si="1062"/>
        <v>6000</v>
      </c>
      <c r="K675" s="73">
        <f t="shared" ref="K675:L675" si="1064">K676+K682</f>
        <v>7680</v>
      </c>
      <c r="L675" s="292">
        <f t="shared" si="1064"/>
        <v>6565</v>
      </c>
      <c r="M675" s="292">
        <f t="shared" ref="M675:P675" si="1065">M676+M682</f>
        <v>1725</v>
      </c>
      <c r="N675" s="292">
        <f t="shared" si="1065"/>
        <v>1725</v>
      </c>
      <c r="O675" s="292">
        <f t="shared" si="1065"/>
        <v>1655</v>
      </c>
      <c r="P675" s="292">
        <f t="shared" si="1065"/>
        <v>1460</v>
      </c>
      <c r="Q675" s="117">
        <f t="shared" si="1042"/>
        <v>6565</v>
      </c>
      <c r="R675" s="117">
        <f t="shared" si="1043"/>
        <v>0</v>
      </c>
      <c r="S675" s="292">
        <f t="shared" si="1062"/>
        <v>6565</v>
      </c>
      <c r="T675" s="292">
        <f t="shared" si="1062"/>
        <v>6565</v>
      </c>
      <c r="U675" s="292">
        <f t="shared" si="1062"/>
        <v>6565</v>
      </c>
    </row>
    <row r="676" spans="1:21" ht="14.25">
      <c r="A676" s="34"/>
      <c r="B676" s="24" t="s">
        <v>153</v>
      </c>
      <c r="C676" s="12"/>
      <c r="D676" s="73">
        <f t="shared" ref="D676:U677" si="1066">D677</f>
        <v>7463</v>
      </c>
      <c r="E676" s="73">
        <f t="shared" si="1066"/>
        <v>7281</v>
      </c>
      <c r="F676" s="73">
        <f t="shared" si="1066"/>
        <v>7670</v>
      </c>
      <c r="G676" s="73">
        <f t="shared" si="1066"/>
        <v>8870</v>
      </c>
      <c r="H676" s="73">
        <f t="shared" si="1066"/>
        <v>7670</v>
      </c>
      <c r="I676" s="73">
        <f t="shared" si="1066"/>
        <v>8265</v>
      </c>
      <c r="J676" s="73">
        <f t="shared" si="1066"/>
        <v>6000</v>
      </c>
      <c r="K676" s="73">
        <f t="shared" si="1066"/>
        <v>7635</v>
      </c>
      <c r="L676" s="292">
        <f t="shared" si="1066"/>
        <v>6565</v>
      </c>
      <c r="M676" s="292">
        <f t="shared" si="1066"/>
        <v>1725</v>
      </c>
      <c r="N676" s="292">
        <f t="shared" si="1066"/>
        <v>1725</v>
      </c>
      <c r="O676" s="292">
        <f t="shared" si="1066"/>
        <v>1655</v>
      </c>
      <c r="P676" s="292">
        <f t="shared" si="1066"/>
        <v>1460</v>
      </c>
      <c r="Q676" s="117">
        <f t="shared" si="1042"/>
        <v>6565</v>
      </c>
      <c r="R676" s="117">
        <f t="shared" si="1043"/>
        <v>0</v>
      </c>
      <c r="S676" s="292">
        <f t="shared" si="1066"/>
        <v>6565</v>
      </c>
      <c r="T676" s="292">
        <f t="shared" si="1066"/>
        <v>6565</v>
      </c>
      <c r="U676" s="292">
        <f t="shared" si="1066"/>
        <v>6565</v>
      </c>
    </row>
    <row r="677" spans="1:21" ht="15">
      <c r="A677" s="34"/>
      <c r="B677" s="33" t="s">
        <v>154</v>
      </c>
      <c r="C677" s="12">
        <v>1</v>
      </c>
      <c r="D677" s="69">
        <f t="shared" si="1066"/>
        <v>7463</v>
      </c>
      <c r="E677" s="69">
        <f t="shared" si="1066"/>
        <v>7281</v>
      </c>
      <c r="F677" s="69">
        <f t="shared" si="1066"/>
        <v>7670</v>
      </c>
      <c r="G677" s="69">
        <f t="shared" si="1066"/>
        <v>8870</v>
      </c>
      <c r="H677" s="69">
        <f t="shared" si="1066"/>
        <v>7670</v>
      </c>
      <c r="I677" s="69">
        <f t="shared" si="1066"/>
        <v>8265</v>
      </c>
      <c r="J677" s="69">
        <f t="shared" si="1066"/>
        <v>6000</v>
      </c>
      <c r="K677" s="69">
        <f t="shared" si="1066"/>
        <v>7635</v>
      </c>
      <c r="L677" s="283">
        <f t="shared" si="1066"/>
        <v>6565</v>
      </c>
      <c r="M677" s="283">
        <f t="shared" si="1066"/>
        <v>1725</v>
      </c>
      <c r="N677" s="283">
        <f t="shared" si="1066"/>
        <v>1725</v>
      </c>
      <c r="O677" s="283">
        <f t="shared" si="1066"/>
        <v>1655</v>
      </c>
      <c r="P677" s="283">
        <f t="shared" si="1066"/>
        <v>1460</v>
      </c>
      <c r="Q677" s="117">
        <f t="shared" si="1042"/>
        <v>6565</v>
      </c>
      <c r="R677" s="117">
        <f t="shared" si="1043"/>
        <v>0</v>
      </c>
      <c r="S677" s="283">
        <f t="shared" si="1066"/>
        <v>6565</v>
      </c>
      <c r="T677" s="283">
        <f t="shared" si="1066"/>
        <v>6565</v>
      </c>
      <c r="U677" s="283">
        <f t="shared" si="1066"/>
        <v>6565</v>
      </c>
    </row>
    <row r="678" spans="1:21" ht="15">
      <c r="A678" s="34"/>
      <c r="B678" s="33" t="s">
        <v>251</v>
      </c>
      <c r="C678" s="12" t="s">
        <v>217</v>
      </c>
      <c r="D678" s="69">
        <f t="shared" ref="D678:U678" si="1067">D679+D680+D681</f>
        <v>7463</v>
      </c>
      <c r="E678" s="69">
        <f t="shared" ref="E678:F678" si="1068">E679+E680+E681</f>
        <v>7281</v>
      </c>
      <c r="F678" s="69">
        <f t="shared" si="1068"/>
        <v>7670</v>
      </c>
      <c r="G678" s="69">
        <f t="shared" si="1067"/>
        <v>8870</v>
      </c>
      <c r="H678" s="69">
        <f t="shared" si="1067"/>
        <v>7670</v>
      </c>
      <c r="I678" s="69">
        <f t="shared" si="1067"/>
        <v>8265</v>
      </c>
      <c r="J678" s="69">
        <f t="shared" si="1067"/>
        <v>6000</v>
      </c>
      <c r="K678" s="69">
        <f t="shared" ref="K678:L678" si="1069">K679+K680+K681</f>
        <v>7635</v>
      </c>
      <c r="L678" s="283">
        <f t="shared" si="1069"/>
        <v>6565</v>
      </c>
      <c r="M678" s="283">
        <f t="shared" ref="M678:P678" si="1070">M679+M680+M681</f>
        <v>1725</v>
      </c>
      <c r="N678" s="283">
        <f t="shared" si="1070"/>
        <v>1725</v>
      </c>
      <c r="O678" s="283">
        <f t="shared" si="1070"/>
        <v>1655</v>
      </c>
      <c r="P678" s="283">
        <f t="shared" si="1070"/>
        <v>1460</v>
      </c>
      <c r="Q678" s="117">
        <f t="shared" si="1042"/>
        <v>6565</v>
      </c>
      <c r="R678" s="117">
        <f t="shared" si="1043"/>
        <v>0</v>
      </c>
      <c r="S678" s="283">
        <f t="shared" si="1067"/>
        <v>6565</v>
      </c>
      <c r="T678" s="283">
        <f t="shared" si="1067"/>
        <v>6565</v>
      </c>
      <c r="U678" s="283">
        <f t="shared" si="1067"/>
        <v>6565</v>
      </c>
    </row>
    <row r="679" spans="1:21" ht="15.75" customHeight="1">
      <c r="A679" s="34"/>
      <c r="B679" s="33" t="s">
        <v>155</v>
      </c>
      <c r="C679" s="12">
        <v>10</v>
      </c>
      <c r="D679" s="68">
        <v>3847</v>
      </c>
      <c r="E679" s="197">
        <v>3946</v>
      </c>
      <c r="F679" s="68">
        <v>4100</v>
      </c>
      <c r="G679" s="68">
        <v>5200</v>
      </c>
      <c r="H679" s="68">
        <v>4100</v>
      </c>
      <c r="I679" s="197">
        <v>5100</v>
      </c>
      <c r="J679" s="197">
        <v>4000</v>
      </c>
      <c r="K679" s="197">
        <v>4570</v>
      </c>
      <c r="L679" s="282">
        <v>4200</v>
      </c>
      <c r="M679" s="282">
        <v>1100</v>
      </c>
      <c r="N679" s="282">
        <v>1100</v>
      </c>
      <c r="O679" s="282">
        <v>1050</v>
      </c>
      <c r="P679" s="282">
        <v>950</v>
      </c>
      <c r="Q679" s="117">
        <f t="shared" si="1042"/>
        <v>4200</v>
      </c>
      <c r="R679" s="117">
        <f t="shared" si="1043"/>
        <v>0</v>
      </c>
      <c r="S679" s="282">
        <v>4200</v>
      </c>
      <c r="T679" s="282">
        <v>4200</v>
      </c>
      <c r="U679" s="282">
        <v>4200</v>
      </c>
    </row>
    <row r="680" spans="1:21" ht="13.5" customHeight="1">
      <c r="A680" s="34"/>
      <c r="B680" s="33" t="s">
        <v>588</v>
      </c>
      <c r="C680" s="12">
        <v>20</v>
      </c>
      <c r="D680" s="68">
        <v>3566</v>
      </c>
      <c r="E680" s="197">
        <v>3276</v>
      </c>
      <c r="F680" s="68">
        <v>3500</v>
      </c>
      <c r="G680" s="68">
        <v>3600</v>
      </c>
      <c r="H680" s="68">
        <v>3500</v>
      </c>
      <c r="I680" s="197">
        <v>3100</v>
      </c>
      <c r="J680" s="197">
        <v>2000</v>
      </c>
      <c r="K680" s="197">
        <v>3000</v>
      </c>
      <c r="L680" s="282">
        <v>2300</v>
      </c>
      <c r="M680" s="282">
        <v>605</v>
      </c>
      <c r="N680" s="282">
        <v>605</v>
      </c>
      <c r="O680" s="282">
        <v>590</v>
      </c>
      <c r="P680" s="282">
        <v>500</v>
      </c>
      <c r="Q680" s="117">
        <f t="shared" si="1042"/>
        <v>2300</v>
      </c>
      <c r="R680" s="117">
        <f t="shared" si="1043"/>
        <v>0</v>
      </c>
      <c r="S680" s="282">
        <v>2300</v>
      </c>
      <c r="T680" s="282">
        <v>2300</v>
      </c>
      <c r="U680" s="282">
        <v>2300</v>
      </c>
    </row>
    <row r="681" spans="1:21" ht="20.25" customHeight="1">
      <c r="A681" s="34"/>
      <c r="B681" s="33" t="s">
        <v>453</v>
      </c>
      <c r="C681" s="12">
        <v>59</v>
      </c>
      <c r="D681" s="68">
        <v>50</v>
      </c>
      <c r="E681" s="197">
        <v>59</v>
      </c>
      <c r="F681" s="68">
        <v>70</v>
      </c>
      <c r="G681" s="68">
        <v>70</v>
      </c>
      <c r="H681" s="68">
        <v>70</v>
      </c>
      <c r="I681" s="197">
        <v>65</v>
      </c>
      <c r="J681" s="197"/>
      <c r="K681" s="197">
        <v>65</v>
      </c>
      <c r="L681" s="282">
        <v>65</v>
      </c>
      <c r="M681" s="282">
        <v>20</v>
      </c>
      <c r="N681" s="282">
        <v>20</v>
      </c>
      <c r="O681" s="282">
        <v>15</v>
      </c>
      <c r="P681" s="282">
        <v>10</v>
      </c>
      <c r="Q681" s="117">
        <f t="shared" si="1042"/>
        <v>65</v>
      </c>
      <c r="R681" s="117">
        <f t="shared" si="1043"/>
        <v>0</v>
      </c>
      <c r="S681" s="282">
        <v>65</v>
      </c>
      <c r="T681" s="282">
        <v>65</v>
      </c>
      <c r="U681" s="282">
        <v>65</v>
      </c>
    </row>
    <row r="682" spans="1:21" ht="20.25" customHeight="1">
      <c r="A682" s="34"/>
      <c r="B682" s="26" t="s">
        <v>165</v>
      </c>
      <c r="C682" s="12"/>
      <c r="D682" s="73">
        <f t="shared" ref="D682:U682" si="1071">D684</f>
        <v>624</v>
      </c>
      <c r="E682" s="73">
        <f t="shared" ref="E682:F682" si="1072">E684</f>
        <v>6</v>
      </c>
      <c r="F682" s="73">
        <f t="shared" si="1072"/>
        <v>7</v>
      </c>
      <c r="G682" s="73">
        <f t="shared" si="1071"/>
        <v>0</v>
      </c>
      <c r="H682" s="73">
        <f t="shared" si="1071"/>
        <v>7</v>
      </c>
      <c r="I682" s="73">
        <f t="shared" si="1071"/>
        <v>45</v>
      </c>
      <c r="J682" s="73">
        <f t="shared" si="1071"/>
        <v>0</v>
      </c>
      <c r="K682" s="73">
        <f t="shared" ref="K682:L682" si="1073">K684</f>
        <v>45</v>
      </c>
      <c r="L682" s="292">
        <f t="shared" si="1073"/>
        <v>0</v>
      </c>
      <c r="M682" s="292">
        <f t="shared" ref="M682:P682" si="1074">M684</f>
        <v>0</v>
      </c>
      <c r="N682" s="292">
        <f t="shared" si="1074"/>
        <v>0</v>
      </c>
      <c r="O682" s="292">
        <f t="shared" si="1074"/>
        <v>0</v>
      </c>
      <c r="P682" s="292">
        <f t="shared" si="1074"/>
        <v>0</v>
      </c>
      <c r="Q682" s="117">
        <f t="shared" si="1042"/>
        <v>0</v>
      </c>
      <c r="R682" s="117">
        <f t="shared" si="1043"/>
        <v>0</v>
      </c>
      <c r="S682" s="292">
        <f t="shared" si="1071"/>
        <v>0</v>
      </c>
      <c r="T682" s="292">
        <f t="shared" si="1071"/>
        <v>0</v>
      </c>
      <c r="U682" s="292">
        <f t="shared" si="1071"/>
        <v>0</v>
      </c>
    </row>
    <row r="683" spans="1:21" ht="20.25" customHeight="1">
      <c r="A683" s="34"/>
      <c r="B683" s="33" t="s">
        <v>184</v>
      </c>
      <c r="C683" s="12" t="s">
        <v>185</v>
      </c>
      <c r="D683" s="68"/>
      <c r="E683" s="197"/>
      <c r="F683" s="68"/>
      <c r="G683" s="68"/>
      <c r="H683" s="68"/>
      <c r="I683" s="197"/>
      <c r="J683" s="197"/>
      <c r="K683" s="197"/>
      <c r="L683" s="282"/>
      <c r="M683" s="282"/>
      <c r="N683" s="282"/>
      <c r="O683" s="282"/>
      <c r="P683" s="282"/>
      <c r="Q683" s="117">
        <f t="shared" si="1042"/>
        <v>0</v>
      </c>
      <c r="R683" s="117">
        <f t="shared" si="1043"/>
        <v>0</v>
      </c>
      <c r="S683" s="282"/>
      <c r="T683" s="282"/>
      <c r="U683" s="282"/>
    </row>
    <row r="684" spans="1:21" ht="15" customHeight="1">
      <c r="A684" s="34"/>
      <c r="B684" s="33" t="s">
        <v>171</v>
      </c>
      <c r="C684" s="12" t="s">
        <v>172</v>
      </c>
      <c r="D684" s="68">
        <v>624</v>
      </c>
      <c r="E684" s="197">
        <v>6</v>
      </c>
      <c r="F684" s="68">
        <v>7</v>
      </c>
      <c r="G684" s="68"/>
      <c r="H684" s="68">
        <v>7</v>
      </c>
      <c r="I684" s="197">
        <v>45</v>
      </c>
      <c r="J684" s="197"/>
      <c r="K684" s="197">
        <v>45</v>
      </c>
      <c r="L684" s="282">
        <v>0</v>
      </c>
      <c r="M684" s="282">
        <v>0</v>
      </c>
      <c r="N684" s="282">
        <v>0</v>
      </c>
      <c r="O684" s="282">
        <v>0</v>
      </c>
      <c r="P684" s="282">
        <v>0</v>
      </c>
      <c r="Q684" s="117">
        <f t="shared" si="1042"/>
        <v>0</v>
      </c>
      <c r="R684" s="117">
        <f t="shared" si="1043"/>
        <v>0</v>
      </c>
      <c r="S684" s="282">
        <v>0</v>
      </c>
      <c r="T684" s="282">
        <v>0</v>
      </c>
      <c r="U684" s="282">
        <v>0</v>
      </c>
    </row>
    <row r="685" spans="1:21" ht="14.25">
      <c r="A685" s="34" t="s">
        <v>538</v>
      </c>
      <c r="B685" s="52" t="s">
        <v>319</v>
      </c>
      <c r="C685" s="12" t="s">
        <v>320</v>
      </c>
      <c r="D685" s="73">
        <f t="shared" ref="D685:U685" si="1075">D686+D692</f>
        <v>12654</v>
      </c>
      <c r="E685" s="73">
        <f t="shared" ref="E685:F685" si="1076">E686+E692</f>
        <v>13646</v>
      </c>
      <c r="F685" s="73">
        <f t="shared" si="1076"/>
        <v>13745</v>
      </c>
      <c r="G685" s="73">
        <f t="shared" si="1075"/>
        <v>13430</v>
      </c>
      <c r="H685" s="73">
        <f t="shared" si="1075"/>
        <v>13745</v>
      </c>
      <c r="I685" s="73">
        <f t="shared" si="1075"/>
        <v>16389</v>
      </c>
      <c r="J685" s="73">
        <f t="shared" si="1075"/>
        <v>11000</v>
      </c>
      <c r="K685" s="73">
        <f t="shared" ref="K685:L685" si="1077">K686+K692</f>
        <v>16316</v>
      </c>
      <c r="L685" s="292">
        <f t="shared" si="1077"/>
        <v>11350</v>
      </c>
      <c r="M685" s="292">
        <f t="shared" ref="M685:P685" si="1078">M686+M692</f>
        <v>3400</v>
      </c>
      <c r="N685" s="292">
        <f t="shared" si="1078"/>
        <v>2750</v>
      </c>
      <c r="O685" s="292">
        <f t="shared" si="1078"/>
        <v>2750</v>
      </c>
      <c r="P685" s="292">
        <f t="shared" si="1078"/>
        <v>2450</v>
      </c>
      <c r="Q685" s="117">
        <f t="shared" si="1042"/>
        <v>11350</v>
      </c>
      <c r="R685" s="117">
        <f t="shared" si="1043"/>
        <v>0</v>
      </c>
      <c r="S685" s="292">
        <f t="shared" si="1075"/>
        <v>11350</v>
      </c>
      <c r="T685" s="292">
        <f t="shared" si="1075"/>
        <v>11350</v>
      </c>
      <c r="U685" s="292">
        <f t="shared" si="1075"/>
        <v>11350</v>
      </c>
    </row>
    <row r="686" spans="1:21" ht="14.25">
      <c r="A686" s="34"/>
      <c r="B686" s="24" t="s">
        <v>153</v>
      </c>
      <c r="C686" s="12"/>
      <c r="D686" s="73">
        <f t="shared" ref="D686:U687" si="1079">D687</f>
        <v>12293</v>
      </c>
      <c r="E686" s="73">
        <f t="shared" si="1079"/>
        <v>13152</v>
      </c>
      <c r="F686" s="73">
        <f t="shared" si="1079"/>
        <v>13250</v>
      </c>
      <c r="G686" s="73">
        <f t="shared" si="1079"/>
        <v>13430</v>
      </c>
      <c r="H686" s="73">
        <f t="shared" si="1079"/>
        <v>13250</v>
      </c>
      <c r="I686" s="73">
        <f t="shared" si="1079"/>
        <v>14601</v>
      </c>
      <c r="J686" s="73">
        <f t="shared" si="1079"/>
        <v>11000</v>
      </c>
      <c r="K686" s="73">
        <f t="shared" si="1079"/>
        <v>14528</v>
      </c>
      <c r="L686" s="292">
        <f t="shared" si="1079"/>
        <v>11350</v>
      </c>
      <c r="M686" s="292">
        <f t="shared" si="1079"/>
        <v>3400</v>
      </c>
      <c r="N686" s="292">
        <f t="shared" si="1079"/>
        <v>2750</v>
      </c>
      <c r="O686" s="292">
        <f t="shared" si="1079"/>
        <v>2750</v>
      </c>
      <c r="P686" s="292">
        <f t="shared" si="1079"/>
        <v>2450</v>
      </c>
      <c r="Q686" s="117">
        <f t="shared" si="1042"/>
        <v>11350</v>
      </c>
      <c r="R686" s="117">
        <f t="shared" si="1043"/>
        <v>0</v>
      </c>
      <c r="S686" s="292">
        <f t="shared" si="1079"/>
        <v>11350</v>
      </c>
      <c r="T686" s="292">
        <f t="shared" si="1079"/>
        <v>11350</v>
      </c>
      <c r="U686" s="292">
        <f t="shared" si="1079"/>
        <v>11350</v>
      </c>
    </row>
    <row r="687" spans="1:21" ht="15">
      <c r="A687" s="34"/>
      <c r="B687" s="33" t="s">
        <v>154</v>
      </c>
      <c r="C687" s="12">
        <v>1</v>
      </c>
      <c r="D687" s="69">
        <f t="shared" si="1079"/>
        <v>12293</v>
      </c>
      <c r="E687" s="69">
        <f t="shared" si="1079"/>
        <v>13152</v>
      </c>
      <c r="F687" s="69">
        <f t="shared" si="1079"/>
        <v>13250</v>
      </c>
      <c r="G687" s="69">
        <f t="shared" si="1079"/>
        <v>13430</v>
      </c>
      <c r="H687" s="69">
        <f t="shared" si="1079"/>
        <v>13250</v>
      </c>
      <c r="I687" s="69">
        <f t="shared" si="1079"/>
        <v>14601</v>
      </c>
      <c r="J687" s="69">
        <f t="shared" si="1079"/>
        <v>11000</v>
      </c>
      <c r="K687" s="69">
        <f t="shared" si="1079"/>
        <v>14528</v>
      </c>
      <c r="L687" s="283">
        <f t="shared" si="1079"/>
        <v>11350</v>
      </c>
      <c r="M687" s="283">
        <f t="shared" si="1079"/>
        <v>3400</v>
      </c>
      <c r="N687" s="283">
        <f t="shared" si="1079"/>
        <v>2750</v>
      </c>
      <c r="O687" s="283">
        <f t="shared" si="1079"/>
        <v>2750</v>
      </c>
      <c r="P687" s="283">
        <f t="shared" si="1079"/>
        <v>2450</v>
      </c>
      <c r="Q687" s="117">
        <f t="shared" si="1042"/>
        <v>11350</v>
      </c>
      <c r="R687" s="117">
        <f t="shared" si="1043"/>
        <v>0</v>
      </c>
      <c r="S687" s="283">
        <f t="shared" si="1079"/>
        <v>11350</v>
      </c>
      <c r="T687" s="283">
        <f t="shared" si="1079"/>
        <v>11350</v>
      </c>
      <c r="U687" s="283">
        <f t="shared" si="1079"/>
        <v>11350</v>
      </c>
    </row>
    <row r="688" spans="1:21" ht="15">
      <c r="A688" s="34"/>
      <c r="B688" s="33" t="s">
        <v>251</v>
      </c>
      <c r="C688" s="12" t="s">
        <v>217</v>
      </c>
      <c r="D688" s="69">
        <f t="shared" ref="D688:U688" si="1080">D689+D690+D691</f>
        <v>12293</v>
      </c>
      <c r="E688" s="69">
        <f t="shared" ref="E688:F688" si="1081">E689+E690+E691</f>
        <v>13152</v>
      </c>
      <c r="F688" s="69">
        <f t="shared" si="1081"/>
        <v>13250</v>
      </c>
      <c r="G688" s="69">
        <f t="shared" si="1080"/>
        <v>13430</v>
      </c>
      <c r="H688" s="69">
        <f t="shared" si="1080"/>
        <v>13250</v>
      </c>
      <c r="I688" s="69">
        <f t="shared" si="1080"/>
        <v>14601</v>
      </c>
      <c r="J688" s="69">
        <f t="shared" si="1080"/>
        <v>11000</v>
      </c>
      <c r="K688" s="69">
        <f t="shared" ref="K688:L688" si="1082">K689+K690+K691</f>
        <v>14528</v>
      </c>
      <c r="L688" s="283">
        <f t="shared" si="1082"/>
        <v>11350</v>
      </c>
      <c r="M688" s="283">
        <f t="shared" ref="M688:P688" si="1083">M689+M690+M691</f>
        <v>3400</v>
      </c>
      <c r="N688" s="283">
        <f t="shared" si="1083"/>
        <v>2750</v>
      </c>
      <c r="O688" s="283">
        <f t="shared" si="1083"/>
        <v>2750</v>
      </c>
      <c r="P688" s="283">
        <f t="shared" si="1083"/>
        <v>2450</v>
      </c>
      <c r="Q688" s="117">
        <f t="shared" si="1042"/>
        <v>11350</v>
      </c>
      <c r="R688" s="117">
        <f t="shared" si="1043"/>
        <v>0</v>
      </c>
      <c r="S688" s="283">
        <f t="shared" si="1080"/>
        <v>11350</v>
      </c>
      <c r="T688" s="283">
        <f t="shared" si="1080"/>
        <v>11350</v>
      </c>
      <c r="U688" s="283">
        <f t="shared" si="1080"/>
        <v>11350</v>
      </c>
    </row>
    <row r="689" spans="1:21" ht="15.75" customHeight="1">
      <c r="A689" s="34" t="s">
        <v>641</v>
      </c>
      <c r="B689" s="33" t="s">
        <v>155</v>
      </c>
      <c r="C689" s="12">
        <v>10</v>
      </c>
      <c r="D689" s="68">
        <v>7308</v>
      </c>
      <c r="E689" s="197">
        <v>8925</v>
      </c>
      <c r="F689" s="68">
        <v>9000</v>
      </c>
      <c r="G689" s="68">
        <v>9000</v>
      </c>
      <c r="H689" s="68">
        <v>9000</v>
      </c>
      <c r="I689" s="197">
        <v>9635</v>
      </c>
      <c r="J689" s="197">
        <v>9000</v>
      </c>
      <c r="K689" s="197">
        <v>9465</v>
      </c>
      <c r="L689" s="282">
        <v>9000</v>
      </c>
      <c r="M689" s="282">
        <v>2300</v>
      </c>
      <c r="N689" s="282">
        <v>2300</v>
      </c>
      <c r="O689" s="282">
        <v>2250</v>
      </c>
      <c r="P689" s="282">
        <v>2150</v>
      </c>
      <c r="Q689" s="117">
        <f t="shared" si="1042"/>
        <v>9000</v>
      </c>
      <c r="R689" s="117">
        <f t="shared" si="1043"/>
        <v>0</v>
      </c>
      <c r="S689" s="282">
        <v>9000</v>
      </c>
      <c r="T689" s="282">
        <v>9000</v>
      </c>
      <c r="U689" s="282">
        <v>9000</v>
      </c>
    </row>
    <row r="690" spans="1:21" ht="15.75" customHeight="1">
      <c r="A690" s="34"/>
      <c r="B690" s="33" t="s">
        <v>588</v>
      </c>
      <c r="C690" s="12">
        <v>20</v>
      </c>
      <c r="D690" s="68">
        <v>4873</v>
      </c>
      <c r="E690" s="197">
        <v>4120</v>
      </c>
      <c r="F690" s="68">
        <v>4120</v>
      </c>
      <c r="G690" s="68">
        <v>4300</v>
      </c>
      <c r="H690" s="68">
        <v>4120</v>
      </c>
      <c r="I690" s="197">
        <v>4816</v>
      </c>
      <c r="J690" s="197">
        <v>2000</v>
      </c>
      <c r="K690" s="197">
        <v>4913</v>
      </c>
      <c r="L690" s="282">
        <v>2200</v>
      </c>
      <c r="M690" s="282">
        <v>1050</v>
      </c>
      <c r="N690" s="282">
        <v>400</v>
      </c>
      <c r="O690" s="282">
        <v>450</v>
      </c>
      <c r="P690" s="282">
        <v>300</v>
      </c>
      <c r="Q690" s="117">
        <f t="shared" si="1042"/>
        <v>2200</v>
      </c>
      <c r="R690" s="117">
        <f t="shared" si="1043"/>
        <v>0</v>
      </c>
      <c r="S690" s="282">
        <v>2200</v>
      </c>
      <c r="T690" s="282">
        <v>2200</v>
      </c>
      <c r="U690" s="282">
        <v>2200</v>
      </c>
    </row>
    <row r="691" spans="1:21" ht="17.25" customHeight="1">
      <c r="A691" s="34"/>
      <c r="B691" s="33" t="s">
        <v>452</v>
      </c>
      <c r="C691" s="12">
        <v>59</v>
      </c>
      <c r="D691" s="68">
        <v>112</v>
      </c>
      <c r="E691" s="197">
        <v>107</v>
      </c>
      <c r="F691" s="68">
        <v>130</v>
      </c>
      <c r="G691" s="68">
        <v>130</v>
      </c>
      <c r="H691" s="68">
        <v>130</v>
      </c>
      <c r="I691" s="197">
        <v>150</v>
      </c>
      <c r="J691" s="197"/>
      <c r="K691" s="197">
        <v>150</v>
      </c>
      <c r="L691" s="282">
        <v>150</v>
      </c>
      <c r="M691" s="282">
        <v>50</v>
      </c>
      <c r="N691" s="282">
        <v>50</v>
      </c>
      <c r="O691" s="282">
        <v>50</v>
      </c>
      <c r="P691" s="282"/>
      <c r="Q691" s="117">
        <f t="shared" si="1042"/>
        <v>150</v>
      </c>
      <c r="R691" s="117">
        <f t="shared" si="1043"/>
        <v>0</v>
      </c>
      <c r="S691" s="282">
        <v>150</v>
      </c>
      <c r="T691" s="282">
        <v>150</v>
      </c>
      <c r="U691" s="282">
        <v>150</v>
      </c>
    </row>
    <row r="692" spans="1:21" ht="13.5" customHeight="1">
      <c r="A692" s="34"/>
      <c r="B692" s="26" t="s">
        <v>165</v>
      </c>
      <c r="C692" s="12"/>
      <c r="D692" s="73">
        <f t="shared" ref="D692:U692" si="1084">D693</f>
        <v>361</v>
      </c>
      <c r="E692" s="73">
        <f t="shared" si="1084"/>
        <v>494</v>
      </c>
      <c r="F692" s="73">
        <f t="shared" si="1084"/>
        <v>495</v>
      </c>
      <c r="G692" s="73">
        <f t="shared" si="1084"/>
        <v>0</v>
      </c>
      <c r="H692" s="73">
        <f t="shared" si="1084"/>
        <v>495</v>
      </c>
      <c r="I692" s="73">
        <f t="shared" si="1084"/>
        <v>1788</v>
      </c>
      <c r="J692" s="73">
        <f t="shared" si="1084"/>
        <v>0</v>
      </c>
      <c r="K692" s="73">
        <f t="shared" si="1084"/>
        <v>1788</v>
      </c>
      <c r="L692" s="292">
        <f t="shared" si="1084"/>
        <v>0</v>
      </c>
      <c r="M692" s="292">
        <f t="shared" si="1084"/>
        <v>0</v>
      </c>
      <c r="N692" s="292">
        <f t="shared" si="1084"/>
        <v>0</v>
      </c>
      <c r="O692" s="292">
        <f t="shared" si="1084"/>
        <v>0</v>
      </c>
      <c r="P692" s="292">
        <f t="shared" si="1084"/>
        <v>0</v>
      </c>
      <c r="Q692" s="117">
        <f t="shared" si="1042"/>
        <v>0</v>
      </c>
      <c r="R692" s="117">
        <f t="shared" si="1043"/>
        <v>0</v>
      </c>
      <c r="S692" s="292">
        <f t="shared" si="1084"/>
        <v>0</v>
      </c>
      <c r="T692" s="292">
        <f t="shared" si="1084"/>
        <v>0</v>
      </c>
      <c r="U692" s="292">
        <f t="shared" si="1084"/>
        <v>0</v>
      </c>
    </row>
    <row r="693" spans="1:21" ht="15" customHeight="1">
      <c r="A693" s="34"/>
      <c r="B693" s="33" t="s">
        <v>171</v>
      </c>
      <c r="C693" s="12" t="s">
        <v>172</v>
      </c>
      <c r="D693" s="68">
        <v>361</v>
      </c>
      <c r="E693" s="197">
        <v>494</v>
      </c>
      <c r="F693" s="68">
        <v>495</v>
      </c>
      <c r="G693" s="68"/>
      <c r="H693" s="68">
        <v>495</v>
      </c>
      <c r="I693" s="197">
        <v>1788</v>
      </c>
      <c r="J693" s="197"/>
      <c r="K693" s="197">
        <v>1788</v>
      </c>
      <c r="L693" s="282">
        <v>0</v>
      </c>
      <c r="M693" s="282">
        <v>0</v>
      </c>
      <c r="N693" s="282">
        <v>0</v>
      </c>
      <c r="O693" s="282">
        <v>0</v>
      </c>
      <c r="P693" s="282">
        <v>0</v>
      </c>
      <c r="Q693" s="117">
        <f t="shared" si="1042"/>
        <v>0</v>
      </c>
      <c r="R693" s="117">
        <f t="shared" si="1043"/>
        <v>0</v>
      </c>
      <c r="S693" s="282"/>
      <c r="T693" s="282"/>
      <c r="U693" s="282">
        <v>0</v>
      </c>
    </row>
    <row r="694" spans="1:21" ht="28.5">
      <c r="A694" s="34" t="s">
        <v>456</v>
      </c>
      <c r="B694" s="31" t="s">
        <v>321</v>
      </c>
      <c r="C694" s="12" t="s">
        <v>322</v>
      </c>
      <c r="D694" s="73">
        <f t="shared" ref="D694:U694" si="1085">D695+D701</f>
        <v>1942</v>
      </c>
      <c r="E694" s="73">
        <f t="shared" ref="E694:F694" si="1086">E695+E701</f>
        <v>2219</v>
      </c>
      <c r="F694" s="73">
        <f t="shared" si="1086"/>
        <v>2392</v>
      </c>
      <c r="G694" s="73">
        <f t="shared" si="1085"/>
        <v>2442</v>
      </c>
      <c r="H694" s="73">
        <f t="shared" si="1085"/>
        <v>2392</v>
      </c>
      <c r="I694" s="73">
        <f t="shared" si="1085"/>
        <v>2549</v>
      </c>
      <c r="J694" s="73">
        <f t="shared" si="1085"/>
        <v>2100</v>
      </c>
      <c r="K694" s="73">
        <f t="shared" ref="K694:L694" si="1087">K695+K701</f>
        <v>2524</v>
      </c>
      <c r="L694" s="292">
        <f t="shared" si="1087"/>
        <v>2200</v>
      </c>
      <c r="M694" s="292">
        <f t="shared" ref="M694:P694" si="1088">M695+M701</f>
        <v>570</v>
      </c>
      <c r="N694" s="292">
        <f t="shared" si="1088"/>
        <v>580</v>
      </c>
      <c r="O694" s="292">
        <f t="shared" si="1088"/>
        <v>580</v>
      </c>
      <c r="P694" s="292">
        <f t="shared" si="1088"/>
        <v>470</v>
      </c>
      <c r="Q694" s="117">
        <f t="shared" si="1042"/>
        <v>2200</v>
      </c>
      <c r="R694" s="117">
        <f t="shared" si="1043"/>
        <v>0</v>
      </c>
      <c r="S694" s="292">
        <f t="shared" si="1085"/>
        <v>2200</v>
      </c>
      <c r="T694" s="292">
        <f t="shared" si="1085"/>
        <v>2200</v>
      </c>
      <c r="U694" s="292">
        <f t="shared" si="1085"/>
        <v>2200</v>
      </c>
    </row>
    <row r="695" spans="1:21" ht="14.25">
      <c r="A695" s="34"/>
      <c r="B695" s="24" t="s">
        <v>153</v>
      </c>
      <c r="C695" s="12"/>
      <c r="D695" s="73">
        <f t="shared" ref="D695:U696" si="1089">D696</f>
        <v>1942</v>
      </c>
      <c r="E695" s="73">
        <f>E696+E700</f>
        <v>2165</v>
      </c>
      <c r="F695" s="73">
        <f>F696</f>
        <v>2335</v>
      </c>
      <c r="G695" s="73">
        <f t="shared" si="1089"/>
        <v>2385</v>
      </c>
      <c r="H695" s="73">
        <f>H696</f>
        <v>2335</v>
      </c>
      <c r="I695" s="73">
        <f t="shared" si="1089"/>
        <v>2508</v>
      </c>
      <c r="J695" s="73">
        <f t="shared" si="1089"/>
        <v>2100</v>
      </c>
      <c r="K695" s="73">
        <f t="shared" si="1089"/>
        <v>2483</v>
      </c>
      <c r="L695" s="292">
        <f t="shared" si="1089"/>
        <v>2200</v>
      </c>
      <c r="M695" s="292">
        <f t="shared" si="1089"/>
        <v>570</v>
      </c>
      <c r="N695" s="292">
        <f t="shared" si="1089"/>
        <v>580</v>
      </c>
      <c r="O695" s="292">
        <f t="shared" si="1089"/>
        <v>580</v>
      </c>
      <c r="P695" s="292">
        <f t="shared" si="1089"/>
        <v>470</v>
      </c>
      <c r="Q695" s="117">
        <f t="shared" si="1042"/>
        <v>2200</v>
      </c>
      <c r="R695" s="117">
        <f t="shared" si="1043"/>
        <v>0</v>
      </c>
      <c r="S695" s="292">
        <f t="shared" si="1089"/>
        <v>2200</v>
      </c>
      <c r="T695" s="292">
        <f t="shared" si="1089"/>
        <v>2200</v>
      </c>
      <c r="U695" s="292">
        <f t="shared" si="1089"/>
        <v>2200</v>
      </c>
    </row>
    <row r="696" spans="1:21" ht="15">
      <c r="A696" s="34"/>
      <c r="B696" s="33" t="s">
        <v>154</v>
      </c>
      <c r="C696" s="12">
        <v>1</v>
      </c>
      <c r="D696" s="69">
        <f t="shared" si="1089"/>
        <v>1942</v>
      </c>
      <c r="E696" s="69">
        <f t="shared" si="1089"/>
        <v>2165</v>
      </c>
      <c r="F696" s="69">
        <f t="shared" si="1089"/>
        <v>2335</v>
      </c>
      <c r="G696" s="69">
        <f t="shared" si="1089"/>
        <v>2385</v>
      </c>
      <c r="H696" s="69">
        <f t="shared" si="1089"/>
        <v>2335</v>
      </c>
      <c r="I696" s="69">
        <f t="shared" si="1089"/>
        <v>2508</v>
      </c>
      <c r="J696" s="69">
        <f t="shared" si="1089"/>
        <v>2100</v>
      </c>
      <c r="K696" s="69">
        <f t="shared" si="1089"/>
        <v>2483</v>
      </c>
      <c r="L696" s="283">
        <f t="shared" si="1089"/>
        <v>2200</v>
      </c>
      <c r="M696" s="283">
        <f t="shared" si="1089"/>
        <v>570</v>
      </c>
      <c r="N696" s="283">
        <f t="shared" si="1089"/>
        <v>580</v>
      </c>
      <c r="O696" s="283">
        <f t="shared" si="1089"/>
        <v>580</v>
      </c>
      <c r="P696" s="283">
        <f t="shared" si="1089"/>
        <v>470</v>
      </c>
      <c r="Q696" s="117">
        <f t="shared" si="1042"/>
        <v>2200</v>
      </c>
      <c r="R696" s="117">
        <f t="shared" si="1043"/>
        <v>0</v>
      </c>
      <c r="S696" s="283">
        <f t="shared" si="1089"/>
        <v>2200</v>
      </c>
      <c r="T696" s="283">
        <f t="shared" si="1089"/>
        <v>2200</v>
      </c>
      <c r="U696" s="283">
        <f t="shared" si="1089"/>
        <v>2200</v>
      </c>
    </row>
    <row r="697" spans="1:21" ht="15">
      <c r="A697" s="34"/>
      <c r="B697" s="33" t="s">
        <v>251</v>
      </c>
      <c r="C697" s="12" t="s">
        <v>217</v>
      </c>
      <c r="D697" s="69">
        <f t="shared" ref="D697:U697" si="1090">D698+D699</f>
        <v>1942</v>
      </c>
      <c r="E697" s="69">
        <f>E698+E699</f>
        <v>2165</v>
      </c>
      <c r="F697" s="69">
        <f>F698+F699+F700</f>
        <v>2335</v>
      </c>
      <c r="G697" s="69">
        <f t="shared" si="1090"/>
        <v>2385</v>
      </c>
      <c r="H697" s="69">
        <f>H698+H699+H700</f>
        <v>2335</v>
      </c>
      <c r="I697" s="69">
        <f t="shared" si="1090"/>
        <v>2508</v>
      </c>
      <c r="J697" s="69">
        <f t="shared" si="1090"/>
        <v>2100</v>
      </c>
      <c r="K697" s="69">
        <f t="shared" ref="K697:L697" si="1091">K698+K699</f>
        <v>2483</v>
      </c>
      <c r="L697" s="283">
        <f t="shared" si="1091"/>
        <v>2200</v>
      </c>
      <c r="M697" s="283">
        <f t="shared" ref="M697:P697" si="1092">M698+M699</f>
        <v>570</v>
      </c>
      <c r="N697" s="283">
        <f t="shared" si="1092"/>
        <v>580</v>
      </c>
      <c r="O697" s="283">
        <f t="shared" si="1092"/>
        <v>580</v>
      </c>
      <c r="P697" s="283">
        <f t="shared" si="1092"/>
        <v>470</v>
      </c>
      <c r="Q697" s="117">
        <f t="shared" si="1042"/>
        <v>2200</v>
      </c>
      <c r="R697" s="117">
        <f t="shared" si="1043"/>
        <v>0</v>
      </c>
      <c r="S697" s="283">
        <f t="shared" si="1090"/>
        <v>2200</v>
      </c>
      <c r="T697" s="283">
        <f t="shared" si="1090"/>
        <v>2200</v>
      </c>
      <c r="U697" s="283">
        <f t="shared" si="1090"/>
        <v>2200</v>
      </c>
    </row>
    <row r="698" spans="1:21" ht="15" customHeight="1">
      <c r="A698" s="34"/>
      <c r="B698" s="33" t="s">
        <v>155</v>
      </c>
      <c r="C698" s="12">
        <v>10</v>
      </c>
      <c r="D698" s="68">
        <v>1250</v>
      </c>
      <c r="E698" s="197">
        <v>1415</v>
      </c>
      <c r="F698" s="66">
        <v>1485</v>
      </c>
      <c r="G698" s="68">
        <v>1485</v>
      </c>
      <c r="H698" s="66">
        <v>1485</v>
      </c>
      <c r="I698" s="197">
        <v>1570</v>
      </c>
      <c r="J698" s="197">
        <v>1500</v>
      </c>
      <c r="K698" s="197">
        <v>1545</v>
      </c>
      <c r="L698" s="282">
        <v>1500</v>
      </c>
      <c r="M698" s="282">
        <v>400</v>
      </c>
      <c r="N698" s="282">
        <v>400</v>
      </c>
      <c r="O698" s="282">
        <v>400</v>
      </c>
      <c r="P698" s="282">
        <v>300</v>
      </c>
      <c r="Q698" s="117">
        <f t="shared" si="1042"/>
        <v>1500</v>
      </c>
      <c r="R698" s="117">
        <f t="shared" si="1043"/>
        <v>0</v>
      </c>
      <c r="S698" s="282">
        <v>1500</v>
      </c>
      <c r="T698" s="282">
        <v>1500</v>
      </c>
      <c r="U698" s="282">
        <v>1500</v>
      </c>
    </row>
    <row r="699" spans="1:21" ht="15.75" customHeight="1">
      <c r="A699" s="34"/>
      <c r="B699" s="33" t="s">
        <v>588</v>
      </c>
      <c r="C699" s="12">
        <v>20</v>
      </c>
      <c r="D699" s="68">
        <v>692</v>
      </c>
      <c r="E699" s="197">
        <v>750</v>
      </c>
      <c r="F699" s="66">
        <v>864.76</v>
      </c>
      <c r="G699" s="68">
        <v>900</v>
      </c>
      <c r="H699" s="66">
        <v>864.76</v>
      </c>
      <c r="I699" s="197">
        <v>938</v>
      </c>
      <c r="J699" s="197">
        <v>600</v>
      </c>
      <c r="K699" s="197">
        <v>938</v>
      </c>
      <c r="L699" s="282">
        <v>700</v>
      </c>
      <c r="M699" s="282">
        <v>170</v>
      </c>
      <c r="N699" s="282">
        <v>180</v>
      </c>
      <c r="O699" s="282">
        <v>180</v>
      </c>
      <c r="P699" s="282">
        <v>170</v>
      </c>
      <c r="Q699" s="117">
        <f t="shared" si="1042"/>
        <v>700</v>
      </c>
      <c r="R699" s="117">
        <f t="shared" si="1043"/>
        <v>0</v>
      </c>
      <c r="S699" s="282">
        <v>700</v>
      </c>
      <c r="T699" s="282">
        <v>700</v>
      </c>
      <c r="U699" s="282">
        <v>700</v>
      </c>
    </row>
    <row r="700" spans="1:21" ht="25.5" hidden="1" customHeight="1">
      <c r="A700" s="34"/>
      <c r="B700" s="32" t="s">
        <v>626</v>
      </c>
      <c r="C700" s="12">
        <v>85</v>
      </c>
      <c r="D700" s="68"/>
      <c r="E700" s="197"/>
      <c r="F700" s="66">
        <v>-14.76</v>
      </c>
      <c r="G700" s="68"/>
      <c r="H700" s="66">
        <v>-14.76</v>
      </c>
      <c r="I700" s="197"/>
      <c r="J700" s="197"/>
      <c r="K700" s="197"/>
      <c r="L700" s="282"/>
      <c r="M700" s="282"/>
      <c r="N700" s="282"/>
      <c r="O700" s="282"/>
      <c r="P700" s="282"/>
      <c r="Q700" s="117">
        <f t="shared" si="1042"/>
        <v>0</v>
      </c>
      <c r="R700" s="117">
        <f t="shared" si="1043"/>
        <v>0</v>
      </c>
      <c r="S700" s="282"/>
      <c r="T700" s="282"/>
      <c r="U700" s="282"/>
    </row>
    <row r="701" spans="1:21" ht="20.25" hidden="1" customHeight="1">
      <c r="A701" s="34"/>
      <c r="B701" s="26" t="s">
        <v>165</v>
      </c>
      <c r="C701" s="12"/>
      <c r="D701" s="68">
        <f t="shared" ref="D701:U701" si="1093">D702</f>
        <v>0</v>
      </c>
      <c r="E701" s="66">
        <f t="shared" si="1093"/>
        <v>54</v>
      </c>
      <c r="F701" s="66">
        <f t="shared" si="1093"/>
        <v>57</v>
      </c>
      <c r="G701" s="68">
        <f t="shared" si="1093"/>
        <v>57</v>
      </c>
      <c r="H701" s="66">
        <f t="shared" si="1093"/>
        <v>57</v>
      </c>
      <c r="I701" s="68">
        <f t="shared" si="1093"/>
        <v>41</v>
      </c>
      <c r="J701" s="68">
        <f t="shared" si="1093"/>
        <v>0</v>
      </c>
      <c r="K701" s="68">
        <f t="shared" si="1093"/>
        <v>41</v>
      </c>
      <c r="L701" s="176">
        <f t="shared" si="1093"/>
        <v>0</v>
      </c>
      <c r="M701" s="176">
        <f t="shared" si="1093"/>
        <v>0</v>
      </c>
      <c r="N701" s="176">
        <f t="shared" si="1093"/>
        <v>0</v>
      </c>
      <c r="O701" s="176">
        <f t="shared" si="1093"/>
        <v>0</v>
      </c>
      <c r="P701" s="176">
        <f t="shared" si="1093"/>
        <v>0</v>
      </c>
      <c r="Q701" s="117">
        <f t="shared" si="1042"/>
        <v>0</v>
      </c>
      <c r="R701" s="117">
        <f t="shared" si="1043"/>
        <v>0</v>
      </c>
      <c r="S701" s="176">
        <f t="shared" si="1093"/>
        <v>0</v>
      </c>
      <c r="T701" s="176">
        <f t="shared" si="1093"/>
        <v>0</v>
      </c>
      <c r="U701" s="176">
        <f t="shared" si="1093"/>
        <v>0</v>
      </c>
    </row>
    <row r="702" spans="1:21" ht="18.75" hidden="1" customHeight="1">
      <c r="A702" s="34"/>
      <c r="B702" s="33" t="s">
        <v>171</v>
      </c>
      <c r="C702" s="12" t="s">
        <v>172</v>
      </c>
      <c r="D702" s="68">
        <v>0</v>
      </c>
      <c r="E702" s="197">
        <v>54</v>
      </c>
      <c r="F702" s="66">
        <v>57</v>
      </c>
      <c r="G702" s="68">
        <v>57</v>
      </c>
      <c r="H702" s="66">
        <v>57</v>
      </c>
      <c r="I702" s="197">
        <v>41</v>
      </c>
      <c r="J702" s="197"/>
      <c r="K702" s="197">
        <v>41</v>
      </c>
      <c r="L702" s="282">
        <v>0</v>
      </c>
      <c r="M702" s="282">
        <v>0</v>
      </c>
      <c r="N702" s="282">
        <v>0</v>
      </c>
      <c r="O702" s="282">
        <v>0</v>
      </c>
      <c r="P702" s="282">
        <v>0</v>
      </c>
      <c r="Q702" s="117">
        <f t="shared" si="1042"/>
        <v>0</v>
      </c>
      <c r="R702" s="117">
        <f t="shared" si="1043"/>
        <v>0</v>
      </c>
      <c r="S702" s="282">
        <v>0</v>
      </c>
      <c r="T702" s="282">
        <v>0</v>
      </c>
      <c r="U702" s="282">
        <v>0</v>
      </c>
    </row>
    <row r="703" spans="1:21" ht="24" customHeight="1">
      <c r="A703" s="34" t="s">
        <v>457</v>
      </c>
      <c r="B703" s="50" t="s">
        <v>451</v>
      </c>
      <c r="C703" s="12" t="s">
        <v>323</v>
      </c>
      <c r="D703" s="73">
        <f t="shared" ref="D703:U703" si="1094">D704+D709</f>
        <v>6682</v>
      </c>
      <c r="E703" s="73">
        <f t="shared" ref="E703:F703" si="1095">E704+E709</f>
        <v>5535</v>
      </c>
      <c r="F703" s="73">
        <f t="shared" si="1095"/>
        <v>6131</v>
      </c>
      <c r="G703" s="73">
        <f t="shared" si="1094"/>
        <v>6876</v>
      </c>
      <c r="H703" s="73">
        <f t="shared" si="1094"/>
        <v>6131</v>
      </c>
      <c r="I703" s="73">
        <f t="shared" si="1094"/>
        <v>6892</v>
      </c>
      <c r="J703" s="73">
        <f t="shared" si="1094"/>
        <v>4335</v>
      </c>
      <c r="K703" s="73">
        <f t="shared" ref="K703:L703" si="1096">K704+K709</f>
        <v>5462</v>
      </c>
      <c r="L703" s="292">
        <f t="shared" si="1096"/>
        <v>4650</v>
      </c>
      <c r="M703" s="292">
        <f t="shared" ref="M703:P703" si="1097">M704+M709</f>
        <v>1320</v>
      </c>
      <c r="N703" s="292">
        <f t="shared" si="1097"/>
        <v>1250</v>
      </c>
      <c r="O703" s="292">
        <f t="shared" si="1097"/>
        <v>1250</v>
      </c>
      <c r="P703" s="292">
        <f t="shared" si="1097"/>
        <v>830</v>
      </c>
      <c r="Q703" s="117">
        <f t="shared" si="1042"/>
        <v>4650</v>
      </c>
      <c r="R703" s="117">
        <f t="shared" si="1043"/>
        <v>0</v>
      </c>
      <c r="S703" s="292">
        <f t="shared" si="1094"/>
        <v>4650</v>
      </c>
      <c r="T703" s="292">
        <f t="shared" si="1094"/>
        <v>4650</v>
      </c>
      <c r="U703" s="292">
        <f t="shared" si="1094"/>
        <v>4650</v>
      </c>
    </row>
    <row r="704" spans="1:21" ht="14.25">
      <c r="A704" s="34"/>
      <c r="B704" s="24" t="s">
        <v>153</v>
      </c>
      <c r="C704" s="12"/>
      <c r="D704" s="73">
        <f t="shared" ref="D704:U705" si="1098">D705</f>
        <v>5952</v>
      </c>
      <c r="E704" s="73">
        <f t="shared" si="1098"/>
        <v>5460</v>
      </c>
      <c r="F704" s="73">
        <f t="shared" si="1098"/>
        <v>6055</v>
      </c>
      <c r="G704" s="73">
        <f t="shared" si="1098"/>
        <v>6800</v>
      </c>
      <c r="H704" s="73">
        <f t="shared" si="1098"/>
        <v>6055</v>
      </c>
      <c r="I704" s="73">
        <f t="shared" si="1098"/>
        <v>6848</v>
      </c>
      <c r="J704" s="73">
        <f t="shared" si="1098"/>
        <v>4335</v>
      </c>
      <c r="K704" s="73">
        <f t="shared" si="1098"/>
        <v>5418</v>
      </c>
      <c r="L704" s="292">
        <f t="shared" si="1098"/>
        <v>4650</v>
      </c>
      <c r="M704" s="292">
        <f t="shared" si="1098"/>
        <v>1320</v>
      </c>
      <c r="N704" s="292">
        <f t="shared" si="1098"/>
        <v>1250</v>
      </c>
      <c r="O704" s="292">
        <f t="shared" si="1098"/>
        <v>1250</v>
      </c>
      <c r="P704" s="292">
        <f t="shared" si="1098"/>
        <v>830</v>
      </c>
      <c r="Q704" s="117">
        <f t="shared" si="1042"/>
        <v>4650</v>
      </c>
      <c r="R704" s="117">
        <f t="shared" si="1043"/>
        <v>0</v>
      </c>
      <c r="S704" s="292">
        <f t="shared" si="1098"/>
        <v>4650</v>
      </c>
      <c r="T704" s="292">
        <f t="shared" si="1098"/>
        <v>4650</v>
      </c>
      <c r="U704" s="292">
        <f t="shared" si="1098"/>
        <v>4650</v>
      </c>
    </row>
    <row r="705" spans="1:21" ht="15">
      <c r="A705" s="34"/>
      <c r="B705" s="33" t="s">
        <v>154</v>
      </c>
      <c r="C705" s="12">
        <v>1</v>
      </c>
      <c r="D705" s="69">
        <f t="shared" si="1098"/>
        <v>5952</v>
      </c>
      <c r="E705" s="69">
        <f t="shared" si="1098"/>
        <v>5460</v>
      </c>
      <c r="F705" s="69">
        <f t="shared" si="1098"/>
        <v>6055</v>
      </c>
      <c r="G705" s="69">
        <f t="shared" si="1098"/>
        <v>6800</v>
      </c>
      <c r="H705" s="69">
        <f t="shared" si="1098"/>
        <v>6055</v>
      </c>
      <c r="I705" s="69">
        <f t="shared" si="1098"/>
        <v>6848</v>
      </c>
      <c r="J705" s="69">
        <f t="shared" si="1098"/>
        <v>4335</v>
      </c>
      <c r="K705" s="69">
        <f t="shared" si="1098"/>
        <v>5418</v>
      </c>
      <c r="L705" s="283">
        <f t="shared" si="1098"/>
        <v>4650</v>
      </c>
      <c r="M705" s="283">
        <f t="shared" si="1098"/>
        <v>1320</v>
      </c>
      <c r="N705" s="283">
        <f t="shared" si="1098"/>
        <v>1250</v>
      </c>
      <c r="O705" s="283">
        <f t="shared" si="1098"/>
        <v>1250</v>
      </c>
      <c r="P705" s="283">
        <f t="shared" si="1098"/>
        <v>830</v>
      </c>
      <c r="Q705" s="117">
        <f t="shared" si="1042"/>
        <v>4650</v>
      </c>
      <c r="R705" s="117">
        <f t="shared" si="1043"/>
        <v>0</v>
      </c>
      <c r="S705" s="283">
        <f t="shared" si="1098"/>
        <v>4650</v>
      </c>
      <c r="T705" s="283">
        <f t="shared" si="1098"/>
        <v>4650</v>
      </c>
      <c r="U705" s="283">
        <f t="shared" si="1098"/>
        <v>4650</v>
      </c>
    </row>
    <row r="706" spans="1:21" ht="15">
      <c r="A706" s="34"/>
      <c r="B706" s="33" t="s">
        <v>251</v>
      </c>
      <c r="C706" s="12" t="s">
        <v>217</v>
      </c>
      <c r="D706" s="69">
        <f t="shared" ref="D706:U706" si="1099">D707+D708</f>
        <v>5952</v>
      </c>
      <c r="E706" s="69">
        <f t="shared" ref="E706:F706" si="1100">E707+E708</f>
        <v>5460</v>
      </c>
      <c r="F706" s="69">
        <f t="shared" si="1100"/>
        <v>6055</v>
      </c>
      <c r="G706" s="69">
        <f t="shared" si="1099"/>
        <v>6800</v>
      </c>
      <c r="H706" s="69">
        <f t="shared" si="1099"/>
        <v>6055</v>
      </c>
      <c r="I706" s="69">
        <f t="shared" si="1099"/>
        <v>6848</v>
      </c>
      <c r="J706" s="69">
        <f t="shared" si="1099"/>
        <v>4335</v>
      </c>
      <c r="K706" s="69">
        <f t="shared" ref="K706:L706" si="1101">K707+K708</f>
        <v>5418</v>
      </c>
      <c r="L706" s="283">
        <f t="shared" si="1101"/>
        <v>4650</v>
      </c>
      <c r="M706" s="283">
        <f t="shared" ref="M706:P706" si="1102">M707+M708</f>
        <v>1320</v>
      </c>
      <c r="N706" s="283">
        <f t="shared" si="1102"/>
        <v>1250</v>
      </c>
      <c r="O706" s="283">
        <f t="shared" si="1102"/>
        <v>1250</v>
      </c>
      <c r="P706" s="283">
        <f t="shared" si="1102"/>
        <v>830</v>
      </c>
      <c r="Q706" s="117">
        <f t="shared" si="1042"/>
        <v>4650</v>
      </c>
      <c r="R706" s="117">
        <f t="shared" si="1043"/>
        <v>0</v>
      </c>
      <c r="S706" s="283">
        <f t="shared" si="1099"/>
        <v>4650</v>
      </c>
      <c r="T706" s="283">
        <f t="shared" si="1099"/>
        <v>4650</v>
      </c>
      <c r="U706" s="283">
        <f t="shared" si="1099"/>
        <v>4650</v>
      </c>
    </row>
    <row r="707" spans="1:21" ht="16.5" customHeight="1">
      <c r="A707" s="34"/>
      <c r="B707" s="33" t="s">
        <v>155</v>
      </c>
      <c r="C707" s="12">
        <v>10</v>
      </c>
      <c r="D707" s="68">
        <v>3110</v>
      </c>
      <c r="E707" s="197">
        <v>3335</v>
      </c>
      <c r="F707" s="68">
        <v>3400</v>
      </c>
      <c r="G707" s="68">
        <v>3900</v>
      </c>
      <c r="H707" s="68">
        <v>3400</v>
      </c>
      <c r="I707" s="197">
        <v>3878</v>
      </c>
      <c r="J707" s="197">
        <v>3335</v>
      </c>
      <c r="K707" s="197">
        <v>3677</v>
      </c>
      <c r="L707" s="282">
        <v>3650</v>
      </c>
      <c r="M707" s="282">
        <v>1000</v>
      </c>
      <c r="N707" s="282">
        <v>1000</v>
      </c>
      <c r="O707" s="282">
        <v>1000</v>
      </c>
      <c r="P707" s="282">
        <v>650</v>
      </c>
      <c r="Q707" s="117">
        <f t="shared" si="1042"/>
        <v>3650</v>
      </c>
      <c r="R707" s="117">
        <f t="shared" si="1043"/>
        <v>0</v>
      </c>
      <c r="S707" s="282">
        <v>3650</v>
      </c>
      <c r="T707" s="282">
        <v>3650</v>
      </c>
      <c r="U707" s="282">
        <v>3650</v>
      </c>
    </row>
    <row r="708" spans="1:21" ht="15.75" customHeight="1">
      <c r="A708" s="34"/>
      <c r="B708" s="33" t="s">
        <v>588</v>
      </c>
      <c r="C708" s="12">
        <v>20</v>
      </c>
      <c r="D708" s="68">
        <v>2842</v>
      </c>
      <c r="E708" s="197">
        <v>2125</v>
      </c>
      <c r="F708" s="68">
        <v>2655</v>
      </c>
      <c r="G708" s="68">
        <v>2900</v>
      </c>
      <c r="H708" s="68">
        <v>2655</v>
      </c>
      <c r="I708" s="197">
        <v>2970</v>
      </c>
      <c r="J708" s="197">
        <v>1000</v>
      </c>
      <c r="K708" s="197">
        <v>1741</v>
      </c>
      <c r="L708" s="282">
        <v>1000</v>
      </c>
      <c r="M708" s="282">
        <v>320</v>
      </c>
      <c r="N708" s="282">
        <v>250</v>
      </c>
      <c r="O708" s="282">
        <v>250</v>
      </c>
      <c r="P708" s="282">
        <v>180</v>
      </c>
      <c r="Q708" s="117">
        <f t="shared" si="1042"/>
        <v>1000</v>
      </c>
      <c r="R708" s="117">
        <f t="shared" si="1043"/>
        <v>0</v>
      </c>
      <c r="S708" s="282">
        <v>1000</v>
      </c>
      <c r="T708" s="282">
        <v>1000</v>
      </c>
      <c r="U708" s="282">
        <v>1000</v>
      </c>
    </row>
    <row r="709" spans="1:21" ht="13.5" hidden="1" customHeight="1">
      <c r="A709" s="34"/>
      <c r="B709" s="26" t="s">
        <v>165</v>
      </c>
      <c r="C709" s="12"/>
      <c r="D709" s="69">
        <f t="shared" ref="D709:U709" si="1103">D710</f>
        <v>730</v>
      </c>
      <c r="E709" s="69">
        <f t="shared" si="1103"/>
        <v>75</v>
      </c>
      <c r="F709" s="69">
        <f t="shared" si="1103"/>
        <v>76</v>
      </c>
      <c r="G709" s="69">
        <f t="shared" si="1103"/>
        <v>76</v>
      </c>
      <c r="H709" s="69">
        <f t="shared" si="1103"/>
        <v>76</v>
      </c>
      <c r="I709" s="69">
        <f t="shared" si="1103"/>
        <v>44</v>
      </c>
      <c r="J709" s="69">
        <f t="shared" si="1103"/>
        <v>0</v>
      </c>
      <c r="K709" s="69">
        <f t="shared" si="1103"/>
        <v>44</v>
      </c>
      <c r="L709" s="283">
        <f t="shared" si="1103"/>
        <v>0</v>
      </c>
      <c r="M709" s="283">
        <f t="shared" si="1103"/>
        <v>0</v>
      </c>
      <c r="N709" s="283">
        <f t="shared" si="1103"/>
        <v>0</v>
      </c>
      <c r="O709" s="283">
        <f t="shared" si="1103"/>
        <v>0</v>
      </c>
      <c r="P709" s="283">
        <f t="shared" si="1103"/>
        <v>0</v>
      </c>
      <c r="Q709" s="117">
        <f t="shared" si="1042"/>
        <v>0</v>
      </c>
      <c r="R709" s="117">
        <f t="shared" si="1043"/>
        <v>0</v>
      </c>
      <c r="S709" s="283">
        <f t="shared" si="1103"/>
        <v>0</v>
      </c>
      <c r="T709" s="283">
        <f t="shared" si="1103"/>
        <v>0</v>
      </c>
      <c r="U709" s="283">
        <f t="shared" si="1103"/>
        <v>0</v>
      </c>
    </row>
    <row r="710" spans="1:21" ht="15" hidden="1">
      <c r="A710" s="34"/>
      <c r="B710" s="33" t="s">
        <v>171</v>
      </c>
      <c r="C710" s="12" t="s">
        <v>172</v>
      </c>
      <c r="D710" s="68">
        <v>730</v>
      </c>
      <c r="E710" s="197">
        <v>75</v>
      </c>
      <c r="F710" s="68">
        <v>76</v>
      </c>
      <c r="G710" s="68">
        <f>76</f>
        <v>76</v>
      </c>
      <c r="H710" s="68">
        <v>76</v>
      </c>
      <c r="I710" s="197">
        <v>44</v>
      </c>
      <c r="J710" s="197"/>
      <c r="K710" s="197">
        <v>44</v>
      </c>
      <c r="L710" s="282">
        <v>0</v>
      </c>
      <c r="M710" s="282">
        <v>0</v>
      </c>
      <c r="N710" s="282">
        <v>0</v>
      </c>
      <c r="O710" s="282">
        <v>0</v>
      </c>
      <c r="P710" s="282">
        <v>0</v>
      </c>
      <c r="Q710" s="117">
        <f t="shared" si="1042"/>
        <v>0</v>
      </c>
      <c r="R710" s="117">
        <f t="shared" si="1043"/>
        <v>0</v>
      </c>
      <c r="S710" s="282">
        <v>0</v>
      </c>
      <c r="T710" s="282">
        <v>0</v>
      </c>
      <c r="U710" s="282">
        <v>0</v>
      </c>
    </row>
    <row r="711" spans="1:21" ht="14.25">
      <c r="A711" s="34" t="s">
        <v>458</v>
      </c>
      <c r="B711" s="26" t="s">
        <v>324</v>
      </c>
      <c r="C711" s="12" t="s">
        <v>325</v>
      </c>
      <c r="D711" s="73">
        <f t="shared" ref="D711:U713" si="1104">D712</f>
        <v>13705</v>
      </c>
      <c r="E711" s="73">
        <f t="shared" si="1104"/>
        <v>13167</v>
      </c>
      <c r="F711" s="73">
        <f t="shared" si="1104"/>
        <v>14432</v>
      </c>
      <c r="G711" s="73">
        <f t="shared" si="1104"/>
        <v>14740</v>
      </c>
      <c r="H711" s="73">
        <f t="shared" si="1104"/>
        <v>14432</v>
      </c>
      <c r="I711" s="73">
        <f t="shared" si="1104"/>
        <v>13619</v>
      </c>
      <c r="J711" s="73">
        <f t="shared" si="1104"/>
        <v>13619</v>
      </c>
      <c r="K711" s="73">
        <f t="shared" si="1104"/>
        <v>13619</v>
      </c>
      <c r="L711" s="292">
        <f t="shared" si="1104"/>
        <v>14721</v>
      </c>
      <c r="M711" s="292">
        <f t="shared" si="1104"/>
        <v>3600</v>
      </c>
      <c r="N711" s="292">
        <f t="shared" si="1104"/>
        <v>3600</v>
      </c>
      <c r="O711" s="292">
        <f t="shared" si="1104"/>
        <v>3564</v>
      </c>
      <c r="P711" s="292">
        <f t="shared" si="1104"/>
        <v>3957</v>
      </c>
      <c r="Q711" s="117">
        <f t="shared" si="1042"/>
        <v>14721</v>
      </c>
      <c r="R711" s="117">
        <f t="shared" si="1043"/>
        <v>0</v>
      </c>
      <c r="S711" s="292">
        <f t="shared" si="1104"/>
        <v>16500</v>
      </c>
      <c r="T711" s="292">
        <f t="shared" si="1104"/>
        <v>16500</v>
      </c>
      <c r="U711" s="292">
        <f t="shared" si="1104"/>
        <v>16500</v>
      </c>
    </row>
    <row r="712" spans="1:21" ht="14.25">
      <c r="A712" s="34"/>
      <c r="B712" s="24" t="s">
        <v>153</v>
      </c>
      <c r="C712" s="12"/>
      <c r="D712" s="73">
        <f t="shared" ref="D712:E712" si="1105">D713+D715</f>
        <v>13705</v>
      </c>
      <c r="E712" s="73">
        <f t="shared" si="1105"/>
        <v>13167</v>
      </c>
      <c r="F712" s="73">
        <f>F713+F715</f>
        <v>14432</v>
      </c>
      <c r="G712" s="73">
        <f>G713+G715</f>
        <v>14740</v>
      </c>
      <c r="H712" s="73">
        <f>H713+H715</f>
        <v>14432</v>
      </c>
      <c r="I712" s="73">
        <f t="shared" ref="I712:U712" si="1106">I713+I715</f>
        <v>13619</v>
      </c>
      <c r="J712" s="73">
        <f t="shared" si="1106"/>
        <v>13619</v>
      </c>
      <c r="K712" s="73">
        <f t="shared" ref="K712:L712" si="1107">K713+K715</f>
        <v>13619</v>
      </c>
      <c r="L712" s="292">
        <f t="shared" si="1107"/>
        <v>14721</v>
      </c>
      <c r="M712" s="292">
        <f t="shared" ref="M712:P712" si="1108">M713+M715</f>
        <v>3600</v>
      </c>
      <c r="N712" s="292">
        <f t="shared" si="1108"/>
        <v>3600</v>
      </c>
      <c r="O712" s="292">
        <f t="shared" si="1108"/>
        <v>3564</v>
      </c>
      <c r="P712" s="292">
        <f t="shared" si="1108"/>
        <v>3957</v>
      </c>
      <c r="Q712" s="117">
        <f t="shared" si="1042"/>
        <v>14721</v>
      </c>
      <c r="R712" s="117">
        <f t="shared" si="1043"/>
        <v>0</v>
      </c>
      <c r="S712" s="292">
        <f t="shared" si="1106"/>
        <v>16500</v>
      </c>
      <c r="T712" s="292">
        <f t="shared" si="1106"/>
        <v>16500</v>
      </c>
      <c r="U712" s="292">
        <f t="shared" si="1106"/>
        <v>16500</v>
      </c>
    </row>
    <row r="713" spans="1:21" ht="15">
      <c r="A713" s="34"/>
      <c r="B713" s="33" t="s">
        <v>154</v>
      </c>
      <c r="C713" s="12">
        <v>1</v>
      </c>
      <c r="D713" s="69">
        <f t="shared" si="1104"/>
        <v>13706</v>
      </c>
      <c r="E713" s="69">
        <f t="shared" si="1104"/>
        <v>13475</v>
      </c>
      <c r="F713" s="69">
        <f>F714</f>
        <v>14740</v>
      </c>
      <c r="G713" s="69">
        <f>G714</f>
        <v>14740</v>
      </c>
      <c r="H713" s="69">
        <f>H714</f>
        <v>14740</v>
      </c>
      <c r="I713" s="69">
        <f t="shared" ref="I713:U713" si="1109">I714</f>
        <v>13619</v>
      </c>
      <c r="J713" s="69">
        <f t="shared" si="1109"/>
        <v>13619</v>
      </c>
      <c r="K713" s="69">
        <f t="shared" si="1109"/>
        <v>13619</v>
      </c>
      <c r="L713" s="283">
        <f t="shared" si="1109"/>
        <v>14721</v>
      </c>
      <c r="M713" s="283">
        <f t="shared" si="1109"/>
        <v>3600</v>
      </c>
      <c r="N713" s="283">
        <f t="shared" si="1109"/>
        <v>3600</v>
      </c>
      <c r="O713" s="283">
        <f t="shared" si="1109"/>
        <v>3564</v>
      </c>
      <c r="P713" s="283">
        <f t="shared" si="1109"/>
        <v>3957</v>
      </c>
      <c r="Q713" s="117">
        <f t="shared" si="1042"/>
        <v>14721</v>
      </c>
      <c r="R713" s="117">
        <f t="shared" si="1043"/>
        <v>0</v>
      </c>
      <c r="S713" s="283">
        <f t="shared" si="1109"/>
        <v>16500</v>
      </c>
      <c r="T713" s="283">
        <f t="shared" si="1109"/>
        <v>16500</v>
      </c>
      <c r="U713" s="283">
        <f t="shared" si="1109"/>
        <v>16500</v>
      </c>
    </row>
    <row r="714" spans="1:21" ht="14.25" customHeight="1">
      <c r="A714" s="34"/>
      <c r="B714" s="33" t="s">
        <v>326</v>
      </c>
      <c r="C714" s="12">
        <v>59.15</v>
      </c>
      <c r="D714" s="68">
        <v>13706</v>
      </c>
      <c r="E714" s="197">
        <v>13475</v>
      </c>
      <c r="F714" s="68">
        <v>14740</v>
      </c>
      <c r="G714" s="68">
        <f>13672+1068</f>
        <v>14740</v>
      </c>
      <c r="H714" s="68">
        <v>14740</v>
      </c>
      <c r="I714" s="197">
        <v>13619</v>
      </c>
      <c r="J714" s="197">
        <v>13619</v>
      </c>
      <c r="K714" s="197">
        <v>13619</v>
      </c>
      <c r="L714" s="282">
        <v>14721</v>
      </c>
      <c r="M714" s="282">
        <f>3240+360</f>
        <v>3600</v>
      </c>
      <c r="N714" s="282">
        <f>3960-720+360</f>
        <v>3600</v>
      </c>
      <c r="O714" s="282">
        <f>3600-360+360-36</f>
        <v>3564</v>
      </c>
      <c r="P714" s="282">
        <f>2877+1080</f>
        <v>3957</v>
      </c>
      <c r="Q714" s="117">
        <f t="shared" si="1042"/>
        <v>14721</v>
      </c>
      <c r="R714" s="117">
        <f t="shared" si="1043"/>
        <v>0</v>
      </c>
      <c r="S714" s="282">
        <v>16500</v>
      </c>
      <c r="T714" s="282">
        <v>16500</v>
      </c>
      <c r="U714" s="282">
        <v>16500</v>
      </c>
    </row>
    <row r="715" spans="1:21" ht="15" hidden="1" customHeight="1">
      <c r="A715" s="34"/>
      <c r="B715" s="33" t="s">
        <v>164</v>
      </c>
      <c r="C715" s="12" t="s">
        <v>252</v>
      </c>
      <c r="D715" s="68">
        <v>-1</v>
      </c>
      <c r="E715" s="197">
        <v>-308</v>
      </c>
      <c r="F715" s="68">
        <v>-308</v>
      </c>
      <c r="G715" s="68"/>
      <c r="H715" s="68">
        <v>-308</v>
      </c>
      <c r="I715" s="197"/>
      <c r="J715" s="197"/>
      <c r="K715" s="197"/>
      <c r="L715" s="282"/>
      <c r="M715" s="282"/>
      <c r="N715" s="282"/>
      <c r="O715" s="282"/>
      <c r="P715" s="282"/>
      <c r="Q715" s="117">
        <f t="shared" si="1042"/>
        <v>0</v>
      </c>
      <c r="R715" s="117">
        <f t="shared" si="1043"/>
        <v>0</v>
      </c>
      <c r="S715" s="282"/>
      <c r="T715" s="282"/>
      <c r="U715" s="282"/>
    </row>
    <row r="716" spans="1:21" ht="14.25">
      <c r="A716" s="34" t="s">
        <v>459</v>
      </c>
      <c r="B716" s="50" t="s">
        <v>566</v>
      </c>
      <c r="C716" s="12" t="s">
        <v>327</v>
      </c>
      <c r="D716" s="73">
        <f t="shared" ref="D716:U716" si="1110">D717+D723</f>
        <v>1735</v>
      </c>
      <c r="E716" s="73">
        <f t="shared" ref="E716:F716" si="1111">E717+E723</f>
        <v>1709</v>
      </c>
      <c r="F716" s="73">
        <f t="shared" si="1111"/>
        <v>1790</v>
      </c>
      <c r="G716" s="73">
        <f t="shared" si="1110"/>
        <v>1910</v>
      </c>
      <c r="H716" s="73">
        <f t="shared" si="1110"/>
        <v>1790</v>
      </c>
      <c r="I716" s="73">
        <f t="shared" si="1110"/>
        <v>1988</v>
      </c>
      <c r="J716" s="73">
        <f t="shared" si="1110"/>
        <v>830</v>
      </c>
      <c r="K716" s="73">
        <f t="shared" ref="K716:L716" si="1112">K717+K723</f>
        <v>1652</v>
      </c>
      <c r="L716" s="292">
        <f t="shared" si="1112"/>
        <v>764</v>
      </c>
      <c r="M716" s="292">
        <f t="shared" ref="M716:P716" si="1113">M717+M723</f>
        <v>420</v>
      </c>
      <c r="N716" s="292">
        <f t="shared" si="1113"/>
        <v>130</v>
      </c>
      <c r="O716" s="292">
        <f t="shared" si="1113"/>
        <v>120</v>
      </c>
      <c r="P716" s="292">
        <f t="shared" si="1113"/>
        <v>94</v>
      </c>
      <c r="Q716" s="117">
        <f t="shared" si="1042"/>
        <v>764</v>
      </c>
      <c r="R716" s="117">
        <f t="shared" si="1043"/>
        <v>0</v>
      </c>
      <c r="S716" s="292">
        <f t="shared" si="1110"/>
        <v>764</v>
      </c>
      <c r="T716" s="292">
        <f t="shared" si="1110"/>
        <v>764</v>
      </c>
      <c r="U716" s="292">
        <f t="shared" si="1110"/>
        <v>764</v>
      </c>
    </row>
    <row r="717" spans="1:21" ht="14.25">
      <c r="A717" s="34"/>
      <c r="B717" s="24" t="s">
        <v>153</v>
      </c>
      <c r="C717" s="12"/>
      <c r="D717" s="73">
        <f t="shared" ref="D717:U717" si="1114">D718</f>
        <v>1706</v>
      </c>
      <c r="E717" s="73">
        <f t="shared" si="1114"/>
        <v>1709</v>
      </c>
      <c r="F717" s="73">
        <f t="shared" si="1114"/>
        <v>1790</v>
      </c>
      <c r="G717" s="73">
        <f t="shared" si="1114"/>
        <v>1910</v>
      </c>
      <c r="H717" s="73">
        <f t="shared" si="1114"/>
        <v>1790</v>
      </c>
      <c r="I717" s="73">
        <f t="shared" si="1114"/>
        <v>1988</v>
      </c>
      <c r="J717" s="73">
        <f t="shared" si="1114"/>
        <v>830</v>
      </c>
      <c r="K717" s="73">
        <f t="shared" si="1114"/>
        <v>1652</v>
      </c>
      <c r="L717" s="292">
        <f t="shared" si="1114"/>
        <v>764</v>
      </c>
      <c r="M717" s="292">
        <f t="shared" si="1114"/>
        <v>420</v>
      </c>
      <c r="N717" s="292">
        <f t="shared" si="1114"/>
        <v>130</v>
      </c>
      <c r="O717" s="292">
        <f t="shared" si="1114"/>
        <v>120</v>
      </c>
      <c r="P717" s="292">
        <f t="shared" si="1114"/>
        <v>94</v>
      </c>
      <c r="Q717" s="117">
        <f t="shared" ref="Q717:Q780" si="1115">M717+N717+O717+P717</f>
        <v>764</v>
      </c>
      <c r="R717" s="117">
        <f t="shared" ref="R717:R780" si="1116">L717-Q717</f>
        <v>0</v>
      </c>
      <c r="S717" s="292">
        <f t="shared" si="1114"/>
        <v>764</v>
      </c>
      <c r="T717" s="292">
        <f t="shared" si="1114"/>
        <v>764</v>
      </c>
      <c r="U717" s="292">
        <f t="shared" si="1114"/>
        <v>764</v>
      </c>
    </row>
    <row r="718" spans="1:21" ht="15">
      <c r="A718" s="34"/>
      <c r="B718" s="33" t="s">
        <v>154</v>
      </c>
      <c r="C718" s="12">
        <v>1</v>
      </c>
      <c r="D718" s="69">
        <f t="shared" ref="D718:U718" si="1117">D719+D722</f>
        <v>1706</v>
      </c>
      <c r="E718" s="69">
        <f t="shared" ref="E718:F718" si="1118">E719+E722</f>
        <v>1709</v>
      </c>
      <c r="F718" s="69">
        <f t="shared" si="1118"/>
        <v>1790</v>
      </c>
      <c r="G718" s="69">
        <f t="shared" si="1117"/>
        <v>1910</v>
      </c>
      <c r="H718" s="69">
        <f t="shared" si="1117"/>
        <v>1790</v>
      </c>
      <c r="I718" s="69">
        <f t="shared" si="1117"/>
        <v>1988</v>
      </c>
      <c r="J718" s="69">
        <f t="shared" si="1117"/>
        <v>830</v>
      </c>
      <c r="K718" s="69">
        <f t="shared" ref="K718:L718" si="1119">K719+K722</f>
        <v>1652</v>
      </c>
      <c r="L718" s="283">
        <f t="shared" si="1119"/>
        <v>764</v>
      </c>
      <c r="M718" s="283">
        <f t="shared" ref="M718:P718" si="1120">M719+M722</f>
        <v>420</v>
      </c>
      <c r="N718" s="283">
        <f t="shared" si="1120"/>
        <v>130</v>
      </c>
      <c r="O718" s="283">
        <f t="shared" si="1120"/>
        <v>120</v>
      </c>
      <c r="P718" s="283">
        <f t="shared" si="1120"/>
        <v>94</v>
      </c>
      <c r="Q718" s="117">
        <f t="shared" si="1115"/>
        <v>764</v>
      </c>
      <c r="R718" s="117">
        <f t="shared" si="1116"/>
        <v>0</v>
      </c>
      <c r="S718" s="283">
        <f t="shared" si="1117"/>
        <v>764</v>
      </c>
      <c r="T718" s="283">
        <f t="shared" si="1117"/>
        <v>764</v>
      </c>
      <c r="U718" s="283">
        <f t="shared" si="1117"/>
        <v>764</v>
      </c>
    </row>
    <row r="719" spans="1:21" ht="15">
      <c r="A719" s="34"/>
      <c r="B719" s="33" t="s">
        <v>251</v>
      </c>
      <c r="C719" s="12" t="s">
        <v>217</v>
      </c>
      <c r="D719" s="69">
        <f t="shared" ref="D719:U719" si="1121">D720+D721</f>
        <v>1706</v>
      </c>
      <c r="E719" s="69">
        <f t="shared" ref="E719:F719" si="1122">E720+E721</f>
        <v>1709</v>
      </c>
      <c r="F719" s="69">
        <f t="shared" si="1122"/>
        <v>1790</v>
      </c>
      <c r="G719" s="69">
        <f t="shared" si="1121"/>
        <v>1910</v>
      </c>
      <c r="H719" s="69">
        <f t="shared" si="1121"/>
        <v>1790</v>
      </c>
      <c r="I719" s="69">
        <f t="shared" si="1121"/>
        <v>1988</v>
      </c>
      <c r="J719" s="69">
        <f t="shared" si="1121"/>
        <v>830</v>
      </c>
      <c r="K719" s="69">
        <f t="shared" ref="K719:L719" si="1123">K720+K721</f>
        <v>1652</v>
      </c>
      <c r="L719" s="283">
        <f t="shared" si="1123"/>
        <v>764</v>
      </c>
      <c r="M719" s="283">
        <f t="shared" ref="M719:P719" si="1124">M720+M721</f>
        <v>420</v>
      </c>
      <c r="N719" s="283">
        <f t="shared" si="1124"/>
        <v>130</v>
      </c>
      <c r="O719" s="283">
        <f t="shared" si="1124"/>
        <v>120</v>
      </c>
      <c r="P719" s="283">
        <f t="shared" si="1124"/>
        <v>94</v>
      </c>
      <c r="Q719" s="117">
        <f t="shared" si="1115"/>
        <v>764</v>
      </c>
      <c r="R719" s="117">
        <f t="shared" si="1116"/>
        <v>0</v>
      </c>
      <c r="S719" s="283">
        <f t="shared" si="1121"/>
        <v>764</v>
      </c>
      <c r="T719" s="283">
        <f t="shared" si="1121"/>
        <v>764</v>
      </c>
      <c r="U719" s="283">
        <f t="shared" si="1121"/>
        <v>764</v>
      </c>
    </row>
    <row r="720" spans="1:21" ht="15" customHeight="1">
      <c r="A720" s="34"/>
      <c r="B720" s="33" t="s">
        <v>155</v>
      </c>
      <c r="C720" s="12">
        <v>10</v>
      </c>
      <c r="D720" s="68">
        <v>448</v>
      </c>
      <c r="E720" s="197">
        <v>331</v>
      </c>
      <c r="F720" s="68">
        <v>390</v>
      </c>
      <c r="G720" s="68">
        <v>510</v>
      </c>
      <c r="H720" s="68">
        <v>390</v>
      </c>
      <c r="I720" s="197">
        <v>446</v>
      </c>
      <c r="J720" s="197">
        <v>330</v>
      </c>
      <c r="K720" s="197">
        <v>264</v>
      </c>
      <c r="L720" s="282">
        <v>264</v>
      </c>
      <c r="M720" s="282">
        <v>80</v>
      </c>
      <c r="N720" s="282">
        <v>80</v>
      </c>
      <c r="O720" s="282">
        <v>70</v>
      </c>
      <c r="P720" s="282">
        <v>34</v>
      </c>
      <c r="Q720" s="117">
        <f t="shared" si="1115"/>
        <v>264</v>
      </c>
      <c r="R720" s="117">
        <f t="shared" si="1116"/>
        <v>0</v>
      </c>
      <c r="S720" s="282">
        <v>264</v>
      </c>
      <c r="T720" s="282">
        <v>264</v>
      </c>
      <c r="U720" s="282">
        <v>264</v>
      </c>
    </row>
    <row r="721" spans="1:21" ht="15" customHeight="1">
      <c r="A721" s="34"/>
      <c r="B721" s="33" t="s">
        <v>588</v>
      </c>
      <c r="C721" s="12">
        <v>20</v>
      </c>
      <c r="D721" s="68">
        <v>1258</v>
      </c>
      <c r="E721" s="197">
        <v>1378</v>
      </c>
      <c r="F721" s="68">
        <v>1400</v>
      </c>
      <c r="G721" s="68">
        <v>1400</v>
      </c>
      <c r="H721" s="68">
        <v>1400</v>
      </c>
      <c r="I721" s="197">
        <v>1542</v>
      </c>
      <c r="J721" s="197">
        <v>500</v>
      </c>
      <c r="K721" s="197">
        <v>1388</v>
      </c>
      <c r="L721" s="282">
        <v>500</v>
      </c>
      <c r="M721" s="282">
        <v>340</v>
      </c>
      <c r="N721" s="282">
        <v>50</v>
      </c>
      <c r="O721" s="282">
        <v>50</v>
      </c>
      <c r="P721" s="282">
        <v>60</v>
      </c>
      <c r="Q721" s="117">
        <f t="shared" si="1115"/>
        <v>500</v>
      </c>
      <c r="R721" s="117">
        <f t="shared" si="1116"/>
        <v>0</v>
      </c>
      <c r="S721" s="282">
        <v>500</v>
      </c>
      <c r="T721" s="282">
        <v>500</v>
      </c>
      <c r="U721" s="282">
        <v>500</v>
      </c>
    </row>
    <row r="722" spans="1:21" ht="14.25" hidden="1" customHeight="1">
      <c r="A722" s="34"/>
      <c r="B722" s="33" t="s">
        <v>512</v>
      </c>
      <c r="C722" s="12">
        <v>85.01</v>
      </c>
      <c r="D722" s="68"/>
      <c r="E722" s="197"/>
      <c r="F722" s="68"/>
      <c r="G722" s="68"/>
      <c r="H722" s="68"/>
      <c r="I722" s="197"/>
      <c r="J722" s="197"/>
      <c r="K722" s="197"/>
      <c r="L722" s="282"/>
      <c r="M722" s="282"/>
      <c r="N722" s="282"/>
      <c r="O722" s="282"/>
      <c r="P722" s="282"/>
      <c r="Q722" s="117">
        <f t="shared" si="1115"/>
        <v>0</v>
      </c>
      <c r="R722" s="117">
        <f t="shared" si="1116"/>
        <v>0</v>
      </c>
      <c r="S722" s="282"/>
      <c r="T722" s="282"/>
      <c r="U722" s="282"/>
    </row>
    <row r="723" spans="1:21" ht="16.5" hidden="1" customHeight="1">
      <c r="A723" s="34"/>
      <c r="B723" s="26" t="s">
        <v>165</v>
      </c>
      <c r="C723" s="12"/>
      <c r="D723" s="69">
        <f>D725</f>
        <v>29</v>
      </c>
      <c r="E723" s="69">
        <f t="shared" ref="E723:U723" si="1125">E725</f>
        <v>0</v>
      </c>
      <c r="F723" s="69">
        <f t="shared" ref="F723" si="1126">F725</f>
        <v>0</v>
      </c>
      <c r="G723" s="69">
        <f t="shared" si="1125"/>
        <v>0</v>
      </c>
      <c r="H723" s="69">
        <f t="shared" si="1125"/>
        <v>0</v>
      </c>
      <c r="I723" s="69">
        <f t="shared" si="1125"/>
        <v>0</v>
      </c>
      <c r="J723" s="69">
        <f t="shared" si="1125"/>
        <v>0</v>
      </c>
      <c r="K723" s="69">
        <f t="shared" ref="K723:L723" si="1127">K725</f>
        <v>0</v>
      </c>
      <c r="L723" s="283">
        <f t="shared" si="1127"/>
        <v>0</v>
      </c>
      <c r="M723" s="283">
        <f t="shared" ref="M723:P723" si="1128">M725</f>
        <v>0</v>
      </c>
      <c r="N723" s="283">
        <f t="shared" si="1128"/>
        <v>0</v>
      </c>
      <c r="O723" s="283">
        <f t="shared" si="1128"/>
        <v>0</v>
      </c>
      <c r="P723" s="283">
        <f t="shared" si="1128"/>
        <v>0</v>
      </c>
      <c r="Q723" s="117">
        <f t="shared" si="1115"/>
        <v>0</v>
      </c>
      <c r="R723" s="117">
        <f t="shared" si="1116"/>
        <v>0</v>
      </c>
      <c r="S723" s="283">
        <f t="shared" si="1125"/>
        <v>0</v>
      </c>
      <c r="T723" s="283">
        <f t="shared" si="1125"/>
        <v>0</v>
      </c>
      <c r="U723" s="283">
        <f t="shared" si="1125"/>
        <v>0</v>
      </c>
    </row>
    <row r="724" spans="1:21" ht="0.75" hidden="1" customHeight="1">
      <c r="A724" s="34"/>
      <c r="B724" s="33" t="s">
        <v>328</v>
      </c>
      <c r="C724" s="12" t="s">
        <v>329</v>
      </c>
      <c r="D724" s="68"/>
      <c r="E724" s="197"/>
      <c r="F724" s="68"/>
      <c r="G724" s="68"/>
      <c r="H724" s="68"/>
      <c r="I724" s="197"/>
      <c r="J724" s="197"/>
      <c r="K724" s="197"/>
      <c r="L724" s="282"/>
      <c r="M724" s="282"/>
      <c r="N724" s="282"/>
      <c r="O724" s="282"/>
      <c r="P724" s="282"/>
      <c r="Q724" s="117">
        <f t="shared" si="1115"/>
        <v>0</v>
      </c>
      <c r="R724" s="117">
        <f t="shared" si="1116"/>
        <v>0</v>
      </c>
      <c r="S724" s="282"/>
      <c r="T724" s="282"/>
      <c r="U724" s="282"/>
    </row>
    <row r="725" spans="1:21" ht="18.75" hidden="1" customHeight="1">
      <c r="A725" s="34"/>
      <c r="B725" s="33" t="s">
        <v>171</v>
      </c>
      <c r="C725" s="12" t="s">
        <v>172</v>
      </c>
      <c r="D725" s="68">
        <v>29</v>
      </c>
      <c r="E725" s="197">
        <v>0</v>
      </c>
      <c r="F725" s="68"/>
      <c r="G725" s="68"/>
      <c r="H725" s="68"/>
      <c r="I725" s="197">
        <v>0</v>
      </c>
      <c r="J725" s="197"/>
      <c r="K725" s="197">
        <v>0</v>
      </c>
      <c r="L725" s="282">
        <v>0</v>
      </c>
      <c r="M725" s="282">
        <v>0</v>
      </c>
      <c r="N725" s="282">
        <v>0</v>
      </c>
      <c r="O725" s="282">
        <v>0</v>
      </c>
      <c r="P725" s="282">
        <v>0</v>
      </c>
      <c r="Q725" s="117">
        <f t="shared" si="1115"/>
        <v>0</v>
      </c>
      <c r="R725" s="117">
        <f t="shared" si="1116"/>
        <v>0</v>
      </c>
      <c r="S725" s="282">
        <v>0</v>
      </c>
      <c r="T725" s="282">
        <v>0</v>
      </c>
      <c r="U725" s="282">
        <v>0</v>
      </c>
    </row>
    <row r="726" spans="1:21" ht="14.25">
      <c r="A726" s="56" t="s">
        <v>460</v>
      </c>
      <c r="B726" s="52" t="s">
        <v>330</v>
      </c>
      <c r="C726" s="12" t="s">
        <v>331</v>
      </c>
      <c r="D726" s="73">
        <f t="shared" ref="D726:U726" si="1129">D727</f>
        <v>929</v>
      </c>
      <c r="E726" s="73">
        <f t="shared" si="1129"/>
        <v>304</v>
      </c>
      <c r="F726" s="73">
        <f t="shared" si="1129"/>
        <v>708</v>
      </c>
      <c r="G726" s="73">
        <f t="shared" si="1129"/>
        <v>1000</v>
      </c>
      <c r="H726" s="73">
        <f t="shared" si="1129"/>
        <v>708</v>
      </c>
      <c r="I726" s="73">
        <f t="shared" si="1129"/>
        <v>1100</v>
      </c>
      <c r="J726" s="73">
        <f t="shared" si="1129"/>
        <v>500</v>
      </c>
      <c r="K726" s="73">
        <f t="shared" si="1129"/>
        <v>1100</v>
      </c>
      <c r="L726" s="292">
        <f t="shared" si="1129"/>
        <v>1100</v>
      </c>
      <c r="M726" s="292">
        <f t="shared" si="1129"/>
        <v>0</v>
      </c>
      <c r="N726" s="292">
        <f t="shared" si="1129"/>
        <v>300</v>
      </c>
      <c r="O726" s="292">
        <f t="shared" si="1129"/>
        <v>500</v>
      </c>
      <c r="P726" s="292">
        <f t="shared" si="1129"/>
        <v>300</v>
      </c>
      <c r="Q726" s="117">
        <f t="shared" si="1115"/>
        <v>1100</v>
      </c>
      <c r="R726" s="117">
        <f t="shared" si="1116"/>
        <v>0</v>
      </c>
      <c r="S726" s="292">
        <f t="shared" si="1129"/>
        <v>1000</v>
      </c>
      <c r="T726" s="292">
        <f t="shared" si="1129"/>
        <v>1000</v>
      </c>
      <c r="U726" s="292">
        <f t="shared" si="1129"/>
        <v>1000</v>
      </c>
    </row>
    <row r="727" spans="1:21" ht="14.25">
      <c r="A727" s="34"/>
      <c r="B727" s="24" t="s">
        <v>153</v>
      </c>
      <c r="C727" s="12"/>
      <c r="D727" s="73">
        <f t="shared" ref="D727" si="1130">D729</f>
        <v>929</v>
      </c>
      <c r="E727" s="73">
        <f t="shared" ref="E727" si="1131">E729+E730</f>
        <v>304</v>
      </c>
      <c r="F727" s="73">
        <f>F729+F730</f>
        <v>708</v>
      </c>
      <c r="G727" s="73">
        <f>G729+G730</f>
        <v>1000</v>
      </c>
      <c r="H727" s="73">
        <f>H729+H730</f>
        <v>708</v>
      </c>
      <c r="I727" s="73">
        <f t="shared" ref="I727:U727" si="1132">I729+I730</f>
        <v>1100</v>
      </c>
      <c r="J727" s="73">
        <f t="shared" si="1132"/>
        <v>500</v>
      </c>
      <c r="K727" s="73">
        <f t="shared" ref="K727:L727" si="1133">K729+K730</f>
        <v>1100</v>
      </c>
      <c r="L727" s="292">
        <f t="shared" si="1133"/>
        <v>1100</v>
      </c>
      <c r="M727" s="292">
        <f t="shared" ref="M727:P727" si="1134">M729+M730</f>
        <v>0</v>
      </c>
      <c r="N727" s="292">
        <f t="shared" si="1134"/>
        <v>300</v>
      </c>
      <c r="O727" s="292">
        <f t="shared" si="1134"/>
        <v>500</v>
      </c>
      <c r="P727" s="292">
        <f t="shared" si="1134"/>
        <v>300</v>
      </c>
      <c r="Q727" s="117">
        <f t="shared" si="1115"/>
        <v>1100</v>
      </c>
      <c r="R727" s="117">
        <f t="shared" si="1116"/>
        <v>0</v>
      </c>
      <c r="S727" s="292">
        <f t="shared" si="1132"/>
        <v>1000</v>
      </c>
      <c r="T727" s="292">
        <f t="shared" si="1132"/>
        <v>1000</v>
      </c>
      <c r="U727" s="292">
        <f t="shared" si="1132"/>
        <v>1000</v>
      </c>
    </row>
    <row r="728" spans="1:21" ht="15">
      <c r="A728" s="34"/>
      <c r="B728" s="33" t="s">
        <v>154</v>
      </c>
      <c r="C728" s="12">
        <v>1</v>
      </c>
      <c r="D728" s="69">
        <f t="shared" ref="D728:E728" si="1135">D729</f>
        <v>929</v>
      </c>
      <c r="E728" s="69">
        <f t="shared" si="1135"/>
        <v>349</v>
      </c>
      <c r="F728" s="69">
        <f>F729</f>
        <v>753</v>
      </c>
      <c r="G728" s="69">
        <f>G729</f>
        <v>1000</v>
      </c>
      <c r="H728" s="69">
        <f>H729</f>
        <v>753</v>
      </c>
      <c r="I728" s="69">
        <f t="shared" ref="I728:U728" si="1136">I729</f>
        <v>1100</v>
      </c>
      <c r="J728" s="69">
        <f t="shared" si="1136"/>
        <v>500</v>
      </c>
      <c r="K728" s="69">
        <f t="shared" si="1136"/>
        <v>1100</v>
      </c>
      <c r="L728" s="283">
        <f t="shared" si="1136"/>
        <v>1100</v>
      </c>
      <c r="M728" s="283">
        <f t="shared" si="1136"/>
        <v>0</v>
      </c>
      <c r="N728" s="283">
        <f t="shared" si="1136"/>
        <v>300</v>
      </c>
      <c r="O728" s="283">
        <f t="shared" si="1136"/>
        <v>500</v>
      </c>
      <c r="P728" s="283">
        <f t="shared" si="1136"/>
        <v>300</v>
      </c>
      <c r="Q728" s="117">
        <f t="shared" si="1115"/>
        <v>1100</v>
      </c>
      <c r="R728" s="117">
        <f t="shared" si="1116"/>
        <v>0</v>
      </c>
      <c r="S728" s="283">
        <f t="shared" si="1136"/>
        <v>1000</v>
      </c>
      <c r="T728" s="283">
        <f t="shared" si="1136"/>
        <v>1000</v>
      </c>
      <c r="U728" s="283">
        <f t="shared" si="1136"/>
        <v>1000</v>
      </c>
    </row>
    <row r="729" spans="1:21" ht="16.5" customHeight="1">
      <c r="A729" s="34"/>
      <c r="B729" s="33" t="s">
        <v>588</v>
      </c>
      <c r="C729" s="12">
        <v>20</v>
      </c>
      <c r="D729" s="68">
        <v>929</v>
      </c>
      <c r="E729" s="197">
        <v>349</v>
      </c>
      <c r="F729" s="68">
        <v>753</v>
      </c>
      <c r="G729" s="68">
        <v>1000</v>
      </c>
      <c r="H729" s="68">
        <v>753</v>
      </c>
      <c r="I729" s="197">
        <v>1100</v>
      </c>
      <c r="J729" s="197">
        <v>500</v>
      </c>
      <c r="K729" s="197">
        <v>1100</v>
      </c>
      <c r="L729" s="282">
        <v>1100</v>
      </c>
      <c r="M729" s="282">
        <v>0</v>
      </c>
      <c r="N729" s="282">
        <v>300</v>
      </c>
      <c r="O729" s="282">
        <v>500</v>
      </c>
      <c r="P729" s="282">
        <v>300</v>
      </c>
      <c r="Q729" s="117">
        <f t="shared" si="1115"/>
        <v>1100</v>
      </c>
      <c r="R729" s="117">
        <f t="shared" si="1116"/>
        <v>0</v>
      </c>
      <c r="S729" s="282">
        <v>1000</v>
      </c>
      <c r="T729" s="282">
        <v>1000</v>
      </c>
      <c r="U729" s="282">
        <v>1000</v>
      </c>
    </row>
    <row r="730" spans="1:21" ht="16.5" hidden="1" customHeight="1">
      <c r="A730" s="34"/>
      <c r="B730" s="33" t="s">
        <v>164</v>
      </c>
      <c r="C730" s="12" t="s">
        <v>252</v>
      </c>
      <c r="D730" s="68"/>
      <c r="E730" s="197">
        <v>-45</v>
      </c>
      <c r="F730" s="68">
        <v>-45</v>
      </c>
      <c r="G730" s="68"/>
      <c r="H730" s="68">
        <v>-45</v>
      </c>
      <c r="I730" s="197"/>
      <c r="J730" s="197"/>
      <c r="K730" s="197"/>
      <c r="L730" s="282"/>
      <c r="M730" s="282"/>
      <c r="N730" s="282"/>
      <c r="O730" s="282"/>
      <c r="P730" s="282"/>
      <c r="Q730" s="117">
        <f t="shared" si="1115"/>
        <v>0</v>
      </c>
      <c r="R730" s="117">
        <f t="shared" si="1116"/>
        <v>0</v>
      </c>
      <c r="S730" s="282"/>
      <c r="T730" s="282"/>
      <c r="U730" s="282"/>
    </row>
    <row r="731" spans="1:21" ht="16.5" customHeight="1">
      <c r="A731" s="53" t="s">
        <v>461</v>
      </c>
      <c r="B731" s="26" t="s">
        <v>550</v>
      </c>
      <c r="C731" s="12" t="s">
        <v>552</v>
      </c>
      <c r="D731" s="69">
        <f t="shared" ref="D731:U731" si="1137">D732</f>
        <v>454</v>
      </c>
      <c r="E731" s="69">
        <f t="shared" si="1137"/>
        <v>300</v>
      </c>
      <c r="F731" s="69">
        <f t="shared" si="1137"/>
        <v>300</v>
      </c>
      <c r="G731" s="69">
        <f t="shared" si="1137"/>
        <v>300</v>
      </c>
      <c r="H731" s="69">
        <f t="shared" si="1137"/>
        <v>300</v>
      </c>
      <c r="I731" s="69">
        <f t="shared" si="1137"/>
        <v>500</v>
      </c>
      <c r="J731" s="69">
        <f t="shared" si="1137"/>
        <v>300</v>
      </c>
      <c r="K731" s="69">
        <f t="shared" si="1137"/>
        <v>500</v>
      </c>
      <c r="L731" s="283">
        <f t="shared" si="1137"/>
        <v>500</v>
      </c>
      <c r="M731" s="283">
        <f t="shared" si="1137"/>
        <v>0</v>
      </c>
      <c r="N731" s="283">
        <f t="shared" si="1137"/>
        <v>200</v>
      </c>
      <c r="O731" s="283">
        <f t="shared" si="1137"/>
        <v>300</v>
      </c>
      <c r="P731" s="283">
        <f t="shared" si="1137"/>
        <v>0</v>
      </c>
      <c r="Q731" s="117">
        <f t="shared" si="1115"/>
        <v>500</v>
      </c>
      <c r="R731" s="117">
        <f t="shared" si="1116"/>
        <v>0</v>
      </c>
      <c r="S731" s="283">
        <f t="shared" si="1137"/>
        <v>500</v>
      </c>
      <c r="T731" s="283">
        <f t="shared" si="1137"/>
        <v>500</v>
      </c>
      <c r="U731" s="283">
        <f t="shared" si="1137"/>
        <v>500</v>
      </c>
    </row>
    <row r="732" spans="1:21" ht="16.5" customHeight="1">
      <c r="A732" s="34"/>
      <c r="B732" s="24" t="s">
        <v>153</v>
      </c>
      <c r="C732" s="12"/>
      <c r="D732" s="69">
        <f t="shared" ref="D732:U732" si="1138">D734</f>
        <v>454</v>
      </c>
      <c r="E732" s="69">
        <f t="shared" ref="E732:F732" si="1139">E734</f>
        <v>300</v>
      </c>
      <c r="F732" s="69">
        <f t="shared" si="1139"/>
        <v>300</v>
      </c>
      <c r="G732" s="69">
        <f t="shared" si="1138"/>
        <v>300</v>
      </c>
      <c r="H732" s="69">
        <f t="shared" si="1138"/>
        <v>300</v>
      </c>
      <c r="I732" s="69">
        <f t="shared" si="1138"/>
        <v>500</v>
      </c>
      <c r="J732" s="69">
        <f t="shared" si="1138"/>
        <v>300</v>
      </c>
      <c r="K732" s="69">
        <f t="shared" ref="K732:L732" si="1140">K734</f>
        <v>500</v>
      </c>
      <c r="L732" s="283">
        <f t="shared" si="1140"/>
        <v>500</v>
      </c>
      <c r="M732" s="283">
        <f t="shared" ref="M732:P732" si="1141">M734</f>
        <v>0</v>
      </c>
      <c r="N732" s="283">
        <f t="shared" si="1141"/>
        <v>200</v>
      </c>
      <c r="O732" s="283">
        <f t="shared" si="1141"/>
        <v>300</v>
      </c>
      <c r="P732" s="283">
        <f t="shared" si="1141"/>
        <v>0</v>
      </c>
      <c r="Q732" s="117">
        <f t="shared" si="1115"/>
        <v>500</v>
      </c>
      <c r="R732" s="117">
        <f t="shared" si="1116"/>
        <v>0</v>
      </c>
      <c r="S732" s="283">
        <f t="shared" si="1138"/>
        <v>500</v>
      </c>
      <c r="T732" s="283">
        <f t="shared" si="1138"/>
        <v>500</v>
      </c>
      <c r="U732" s="283">
        <f t="shared" si="1138"/>
        <v>500</v>
      </c>
    </row>
    <row r="733" spans="1:21" ht="16.5" customHeight="1">
      <c r="A733" s="34"/>
      <c r="B733" s="33" t="s">
        <v>154</v>
      </c>
      <c r="C733" s="12">
        <v>1</v>
      </c>
      <c r="D733" s="69"/>
      <c r="E733" s="69">
        <f t="shared" ref="E733" si="1142">E734</f>
        <v>300</v>
      </c>
      <c r="F733" s="69">
        <f>F734</f>
        <v>300</v>
      </c>
      <c r="G733" s="69">
        <f>G734</f>
        <v>300</v>
      </c>
      <c r="H733" s="69">
        <f>H734</f>
        <v>300</v>
      </c>
      <c r="I733" s="69">
        <f t="shared" ref="I733:U733" si="1143">I734</f>
        <v>500</v>
      </c>
      <c r="J733" s="69">
        <f t="shared" si="1143"/>
        <v>300</v>
      </c>
      <c r="K733" s="69">
        <f t="shared" si="1143"/>
        <v>500</v>
      </c>
      <c r="L733" s="283">
        <f t="shared" si="1143"/>
        <v>500</v>
      </c>
      <c r="M733" s="283">
        <f t="shared" si="1143"/>
        <v>0</v>
      </c>
      <c r="N733" s="283">
        <f t="shared" si="1143"/>
        <v>200</v>
      </c>
      <c r="O733" s="283">
        <f t="shared" si="1143"/>
        <v>300</v>
      </c>
      <c r="P733" s="283">
        <f t="shared" si="1143"/>
        <v>0</v>
      </c>
      <c r="Q733" s="117">
        <f t="shared" si="1115"/>
        <v>500</v>
      </c>
      <c r="R733" s="117">
        <f t="shared" si="1116"/>
        <v>0</v>
      </c>
      <c r="S733" s="283">
        <f t="shared" si="1143"/>
        <v>500</v>
      </c>
      <c r="T733" s="283">
        <f t="shared" si="1143"/>
        <v>500</v>
      </c>
      <c r="U733" s="283">
        <f t="shared" si="1143"/>
        <v>500</v>
      </c>
    </row>
    <row r="734" spans="1:21" ht="16.5" customHeight="1">
      <c r="A734" s="34"/>
      <c r="B734" s="33" t="s">
        <v>551</v>
      </c>
      <c r="C734" s="12" t="s">
        <v>553</v>
      </c>
      <c r="D734" s="68">
        <v>454</v>
      </c>
      <c r="E734" s="197">
        <v>300</v>
      </c>
      <c r="F734" s="68">
        <v>300</v>
      </c>
      <c r="G734" s="68">
        <v>300</v>
      </c>
      <c r="H734" s="68">
        <v>300</v>
      </c>
      <c r="I734" s="197">
        <v>500</v>
      </c>
      <c r="J734" s="197">
        <v>300</v>
      </c>
      <c r="K734" s="197">
        <v>500</v>
      </c>
      <c r="L734" s="282">
        <v>500</v>
      </c>
      <c r="M734" s="282">
        <v>0</v>
      </c>
      <c r="N734" s="282">
        <v>200</v>
      </c>
      <c r="O734" s="282">
        <v>300</v>
      </c>
      <c r="P734" s="282"/>
      <c r="Q734" s="117">
        <f t="shared" si="1115"/>
        <v>500</v>
      </c>
      <c r="R734" s="117">
        <f t="shared" si="1116"/>
        <v>0</v>
      </c>
      <c r="S734" s="282">
        <v>500</v>
      </c>
      <c r="T734" s="282">
        <v>500</v>
      </c>
      <c r="U734" s="282">
        <v>500</v>
      </c>
    </row>
    <row r="735" spans="1:21" ht="14.25">
      <c r="A735" s="41">
        <v>4</v>
      </c>
      <c r="B735" s="186" t="s">
        <v>581</v>
      </c>
      <c r="C735" s="184">
        <v>68.02</v>
      </c>
      <c r="D735" s="185">
        <f t="shared" ref="D735" si="1144">D750+D760+D833+D903+D955</f>
        <v>134298.08000000002</v>
      </c>
      <c r="E735" s="188">
        <f t="shared" ref="E735:F735" si="1145">E750+E760+E833+E903+E955+E959</f>
        <v>141897.14000000001</v>
      </c>
      <c r="F735" s="188">
        <f t="shared" si="1145"/>
        <v>163493</v>
      </c>
      <c r="G735" s="188">
        <f t="shared" ref="G735:U735" si="1146">G750+G760+G833+G903+G955+G959</f>
        <v>141602</v>
      </c>
      <c r="H735" s="188">
        <f t="shared" si="1146"/>
        <v>163492</v>
      </c>
      <c r="I735" s="188">
        <f t="shared" si="1146"/>
        <v>182241.16</v>
      </c>
      <c r="J735" s="188">
        <f t="shared" si="1146"/>
        <v>161724</v>
      </c>
      <c r="K735" s="188">
        <f t="shared" ref="K735:L735" si="1147">K750+K760+K833+K903+K955+K959</f>
        <v>178141.16</v>
      </c>
      <c r="L735" s="299">
        <f t="shared" si="1147"/>
        <v>135026</v>
      </c>
      <c r="M735" s="299">
        <f t="shared" ref="M735:P735" si="1148">M750+M760+M833+M903+M955+M959</f>
        <v>41146</v>
      </c>
      <c r="N735" s="299">
        <f t="shared" si="1148"/>
        <v>38679</v>
      </c>
      <c r="O735" s="299">
        <f t="shared" si="1148"/>
        <v>38270</v>
      </c>
      <c r="P735" s="299">
        <f t="shared" si="1148"/>
        <v>16931</v>
      </c>
      <c r="Q735" s="117">
        <f t="shared" si="1115"/>
        <v>135026</v>
      </c>
      <c r="R735" s="117">
        <f t="shared" si="1116"/>
        <v>0</v>
      </c>
      <c r="S735" s="299">
        <f t="shared" si="1146"/>
        <v>136056</v>
      </c>
      <c r="T735" s="299">
        <f t="shared" si="1146"/>
        <v>127363</v>
      </c>
      <c r="U735" s="299">
        <f t="shared" si="1146"/>
        <v>123603</v>
      </c>
    </row>
    <row r="736" spans="1:21" ht="14.25">
      <c r="A736" s="34"/>
      <c r="B736" s="24" t="s">
        <v>153</v>
      </c>
      <c r="C736" s="84"/>
      <c r="D736" s="73">
        <f t="shared" ref="D736" si="1149">D751+D760+D834+D904+D956</f>
        <v>130153</v>
      </c>
      <c r="E736" s="73">
        <f t="shared" ref="E736:F736" si="1150">E751+E760+E834+E904+E956+E960</f>
        <v>135336.83000000002</v>
      </c>
      <c r="F736" s="73">
        <f t="shared" si="1150"/>
        <v>151568.9</v>
      </c>
      <c r="G736" s="73">
        <f t="shared" ref="G736:U736" si="1151">G751+G760+G834+G904+G956+G960</f>
        <v>130450</v>
      </c>
      <c r="H736" s="73">
        <f t="shared" si="1151"/>
        <v>151568.19999999998</v>
      </c>
      <c r="I736" s="73">
        <f t="shared" si="1151"/>
        <v>156510</v>
      </c>
      <c r="J736" s="73">
        <f t="shared" si="1151"/>
        <v>140587</v>
      </c>
      <c r="K736" s="73">
        <f t="shared" ref="K736:L736" si="1152">K751+K760+K834+K904+K956+K960</f>
        <v>152410</v>
      </c>
      <c r="L736" s="292">
        <f t="shared" si="1152"/>
        <v>114685</v>
      </c>
      <c r="M736" s="292">
        <f t="shared" ref="M736:P736" si="1153">M751+M760+M834+M904+M956+M960</f>
        <v>34523</v>
      </c>
      <c r="N736" s="292">
        <f t="shared" si="1153"/>
        <v>34100</v>
      </c>
      <c r="O736" s="292">
        <f t="shared" si="1153"/>
        <v>33691</v>
      </c>
      <c r="P736" s="292">
        <f t="shared" si="1153"/>
        <v>12371</v>
      </c>
      <c r="Q736" s="117">
        <f t="shared" si="1115"/>
        <v>114685</v>
      </c>
      <c r="R736" s="117">
        <f t="shared" si="1116"/>
        <v>0</v>
      </c>
      <c r="S736" s="292">
        <f t="shared" si="1151"/>
        <v>123027</v>
      </c>
      <c r="T736" s="292">
        <f t="shared" si="1151"/>
        <v>123753</v>
      </c>
      <c r="U736" s="292">
        <f t="shared" si="1151"/>
        <v>123603</v>
      </c>
    </row>
    <row r="737" spans="1:21" ht="15">
      <c r="A737" s="34"/>
      <c r="B737" s="33" t="s">
        <v>154</v>
      </c>
      <c r="C737" s="84">
        <v>1</v>
      </c>
      <c r="D737" s="73">
        <f t="shared" ref="D737" si="1154">D752+D760+D835+D905+D957</f>
        <v>130153</v>
      </c>
      <c r="E737" s="73">
        <f t="shared" ref="E737:F737" si="1155">E752+E760+E835+E905+E957+E961</f>
        <v>135336.83000000002</v>
      </c>
      <c r="F737" s="73">
        <f t="shared" si="1155"/>
        <v>151568.9</v>
      </c>
      <c r="G737" s="73">
        <f t="shared" ref="G737:U737" si="1156">G752+G760+G835+G905+G957+G961</f>
        <v>130450</v>
      </c>
      <c r="H737" s="73">
        <f t="shared" si="1156"/>
        <v>151568.19999999998</v>
      </c>
      <c r="I737" s="73">
        <f t="shared" si="1156"/>
        <v>156510</v>
      </c>
      <c r="J737" s="73">
        <f t="shared" si="1156"/>
        <v>140587</v>
      </c>
      <c r="K737" s="73">
        <f t="shared" ref="K737:L737" si="1157">K752+K760+K835+K905+K957+K961</f>
        <v>152410</v>
      </c>
      <c r="L737" s="292">
        <f t="shared" si="1157"/>
        <v>114685</v>
      </c>
      <c r="M737" s="292">
        <f t="shared" ref="M737:P737" si="1158">M752+M760+M835+M905+M957+M961</f>
        <v>34523</v>
      </c>
      <c r="N737" s="292">
        <f t="shared" si="1158"/>
        <v>34100</v>
      </c>
      <c r="O737" s="292">
        <f t="shared" si="1158"/>
        <v>33691</v>
      </c>
      <c r="P737" s="292">
        <f t="shared" si="1158"/>
        <v>12371</v>
      </c>
      <c r="Q737" s="117">
        <f t="shared" si="1115"/>
        <v>114685</v>
      </c>
      <c r="R737" s="117">
        <f t="shared" si="1116"/>
        <v>0</v>
      </c>
      <c r="S737" s="292">
        <f t="shared" si="1156"/>
        <v>123027</v>
      </c>
      <c r="T737" s="292">
        <f t="shared" si="1156"/>
        <v>123753</v>
      </c>
      <c r="U737" s="292">
        <f t="shared" si="1156"/>
        <v>123603</v>
      </c>
    </row>
    <row r="738" spans="1:21" ht="15">
      <c r="A738" s="34"/>
      <c r="B738" s="33" t="s">
        <v>155</v>
      </c>
      <c r="C738" s="84">
        <v>10</v>
      </c>
      <c r="D738" s="73">
        <f t="shared" ref="D738:U738" si="1159">D753+D836</f>
        <v>100493</v>
      </c>
      <c r="E738" s="73">
        <f t="shared" ref="E738:F738" si="1160">E753+E836</f>
        <v>105492.4</v>
      </c>
      <c r="F738" s="73">
        <f t="shared" si="1160"/>
        <v>117402</v>
      </c>
      <c r="G738" s="73">
        <f t="shared" si="1159"/>
        <v>97086</v>
      </c>
      <c r="H738" s="73">
        <f t="shared" si="1159"/>
        <v>117402</v>
      </c>
      <c r="I738" s="73">
        <f t="shared" si="1159"/>
        <v>116305</v>
      </c>
      <c r="J738" s="73">
        <f t="shared" si="1159"/>
        <v>108542</v>
      </c>
      <c r="K738" s="73">
        <f t="shared" ref="K738:L738" si="1161">K753+K836</f>
        <v>112938</v>
      </c>
      <c r="L738" s="292">
        <f t="shared" si="1161"/>
        <v>86450</v>
      </c>
      <c r="M738" s="292">
        <f t="shared" ref="M738:P738" si="1162">M753+M836</f>
        <v>26810</v>
      </c>
      <c r="N738" s="292">
        <f t="shared" si="1162"/>
        <v>26790</v>
      </c>
      <c r="O738" s="292">
        <f t="shared" si="1162"/>
        <v>26370</v>
      </c>
      <c r="P738" s="292">
        <f t="shared" si="1162"/>
        <v>6480</v>
      </c>
      <c r="Q738" s="117">
        <f t="shared" si="1115"/>
        <v>86450</v>
      </c>
      <c r="R738" s="117">
        <f t="shared" si="1116"/>
        <v>0</v>
      </c>
      <c r="S738" s="292">
        <f t="shared" si="1159"/>
        <v>94075</v>
      </c>
      <c r="T738" s="292">
        <f t="shared" si="1159"/>
        <v>94200</v>
      </c>
      <c r="U738" s="292">
        <f t="shared" si="1159"/>
        <v>94050</v>
      </c>
    </row>
    <row r="739" spans="1:21" ht="15">
      <c r="A739" s="34"/>
      <c r="B739" s="33" t="s">
        <v>588</v>
      </c>
      <c r="C739" s="84">
        <v>20</v>
      </c>
      <c r="D739" s="73">
        <f t="shared" ref="D739:U739" si="1163">D754+D761+D837</f>
        <v>16725</v>
      </c>
      <c r="E739" s="73">
        <f t="shared" ref="E739:F739" si="1164">E754+E761+E837</f>
        <v>16013.7</v>
      </c>
      <c r="F739" s="73">
        <f t="shared" si="1164"/>
        <v>18420.900000000001</v>
      </c>
      <c r="G739" s="73">
        <f t="shared" si="1163"/>
        <v>16975</v>
      </c>
      <c r="H739" s="73">
        <f t="shared" si="1163"/>
        <v>18420.830000000002</v>
      </c>
      <c r="I739" s="73">
        <f t="shared" si="1163"/>
        <v>22277</v>
      </c>
      <c r="J739" s="73">
        <f t="shared" si="1163"/>
        <v>16200</v>
      </c>
      <c r="K739" s="73">
        <f t="shared" ref="K739:L739" si="1165">K754+K761+K837</f>
        <v>22277</v>
      </c>
      <c r="L739" s="292">
        <f t="shared" si="1165"/>
        <v>12100</v>
      </c>
      <c r="M739" s="292">
        <f t="shared" ref="M739:P739" si="1166">M754+M761+M837</f>
        <v>3649</v>
      </c>
      <c r="N739" s="292">
        <f t="shared" si="1166"/>
        <v>3095</v>
      </c>
      <c r="O739" s="292">
        <f t="shared" si="1166"/>
        <v>2795</v>
      </c>
      <c r="P739" s="292">
        <f t="shared" si="1166"/>
        <v>2561</v>
      </c>
      <c r="Q739" s="117">
        <f t="shared" si="1115"/>
        <v>12100</v>
      </c>
      <c r="R739" s="117">
        <f t="shared" si="1116"/>
        <v>0</v>
      </c>
      <c r="S739" s="292">
        <f t="shared" si="1163"/>
        <v>12100</v>
      </c>
      <c r="T739" s="292">
        <f t="shared" si="1163"/>
        <v>12100</v>
      </c>
      <c r="U739" s="292">
        <f t="shared" si="1163"/>
        <v>12100</v>
      </c>
    </row>
    <row r="740" spans="1:21" ht="15">
      <c r="A740" s="34"/>
      <c r="B740" s="33" t="s">
        <v>251</v>
      </c>
      <c r="C740" s="84">
        <v>51</v>
      </c>
      <c r="D740" s="73">
        <f t="shared" ref="D740" si="1167">D906</f>
        <v>10955</v>
      </c>
      <c r="E740" s="73">
        <f t="shared" ref="E740" si="1168">E906+E962</f>
        <v>12150</v>
      </c>
      <c r="F740" s="73">
        <f>F906+F962</f>
        <v>12704</v>
      </c>
      <c r="G740" s="73">
        <f>G906+G962</f>
        <v>13303</v>
      </c>
      <c r="H740" s="73">
        <f>H906+H962</f>
        <v>12704</v>
      </c>
      <c r="I740" s="73">
        <f t="shared" ref="I740:U740" si="1169">I906+I962</f>
        <v>13748</v>
      </c>
      <c r="J740" s="73">
        <f t="shared" si="1169"/>
        <v>11765</v>
      </c>
      <c r="K740" s="73">
        <f t="shared" ref="K740:L740" si="1170">K906+K962</f>
        <v>13015</v>
      </c>
      <c r="L740" s="292">
        <f t="shared" si="1170"/>
        <v>12345</v>
      </c>
      <c r="M740" s="292">
        <f t="shared" ref="M740:P740" si="1171">M906+M962</f>
        <v>3160</v>
      </c>
      <c r="N740" s="292">
        <f t="shared" si="1171"/>
        <v>3100</v>
      </c>
      <c r="O740" s="292">
        <f t="shared" si="1171"/>
        <v>3110</v>
      </c>
      <c r="P740" s="292">
        <f t="shared" si="1171"/>
        <v>2975</v>
      </c>
      <c r="Q740" s="117">
        <f t="shared" si="1115"/>
        <v>12345</v>
      </c>
      <c r="R740" s="117">
        <f t="shared" si="1116"/>
        <v>0</v>
      </c>
      <c r="S740" s="292">
        <f t="shared" si="1169"/>
        <v>12602</v>
      </c>
      <c r="T740" s="292">
        <f t="shared" si="1169"/>
        <v>13203</v>
      </c>
      <c r="U740" s="292">
        <f t="shared" si="1169"/>
        <v>13203</v>
      </c>
    </row>
    <row r="741" spans="1:21" ht="15">
      <c r="A741" s="34"/>
      <c r="B741" s="33" t="s">
        <v>616</v>
      </c>
      <c r="C741" s="84">
        <v>55</v>
      </c>
      <c r="D741" s="73"/>
      <c r="E741" s="73">
        <f t="shared" ref="E741" si="1172">E963</f>
        <v>2</v>
      </c>
      <c r="F741" s="73">
        <f>F963</f>
        <v>54</v>
      </c>
      <c r="G741" s="73">
        <f>G963</f>
        <v>0</v>
      </c>
      <c r="H741" s="73">
        <f>H963</f>
        <v>54</v>
      </c>
      <c r="I741" s="73">
        <f t="shared" ref="I741:U741" si="1173">I963</f>
        <v>0</v>
      </c>
      <c r="J741" s="73">
        <f t="shared" si="1173"/>
        <v>0</v>
      </c>
      <c r="K741" s="73">
        <f t="shared" ref="K741:L741" si="1174">K963</f>
        <v>0</v>
      </c>
      <c r="L741" s="292">
        <f t="shared" si="1174"/>
        <v>0</v>
      </c>
      <c r="M741" s="292">
        <f t="shared" ref="M741:P741" si="1175">M963</f>
        <v>0</v>
      </c>
      <c r="N741" s="292">
        <f t="shared" si="1175"/>
        <v>0</v>
      </c>
      <c r="O741" s="292">
        <f t="shared" si="1175"/>
        <v>0</v>
      </c>
      <c r="P741" s="292">
        <f t="shared" si="1175"/>
        <v>0</v>
      </c>
      <c r="Q741" s="117">
        <f t="shared" si="1115"/>
        <v>0</v>
      </c>
      <c r="R741" s="117">
        <f t="shared" si="1116"/>
        <v>0</v>
      </c>
      <c r="S741" s="292">
        <f t="shared" si="1173"/>
        <v>0</v>
      </c>
      <c r="T741" s="292">
        <f t="shared" si="1173"/>
        <v>0</v>
      </c>
      <c r="U741" s="292">
        <f t="shared" si="1173"/>
        <v>0</v>
      </c>
    </row>
    <row r="742" spans="1:21" ht="15">
      <c r="A742" s="34"/>
      <c r="B742" s="33" t="s">
        <v>161</v>
      </c>
      <c r="C742" s="84">
        <v>57</v>
      </c>
      <c r="D742" s="73">
        <f t="shared" ref="D742:U742" si="1176">D755+D762+D958</f>
        <v>2386</v>
      </c>
      <c r="E742" s="73">
        <f t="shared" ref="E742:F742" si="1177">E755+E762+E958</f>
        <v>1899.6599999999999</v>
      </c>
      <c r="F742" s="73">
        <f t="shared" si="1177"/>
        <v>2738</v>
      </c>
      <c r="G742" s="73">
        <f t="shared" si="1176"/>
        <v>2774</v>
      </c>
      <c r="H742" s="73">
        <f t="shared" si="1176"/>
        <v>2737.37</v>
      </c>
      <c r="I742" s="73">
        <f t="shared" si="1176"/>
        <v>3880</v>
      </c>
      <c r="J742" s="73">
        <f t="shared" si="1176"/>
        <v>3780</v>
      </c>
      <c r="K742" s="73">
        <f t="shared" ref="K742:L742" si="1178">K755+K762+K958</f>
        <v>3880</v>
      </c>
      <c r="L742" s="292">
        <f t="shared" si="1178"/>
        <v>3490</v>
      </c>
      <c r="M742" s="292">
        <f t="shared" ref="M742:P742" si="1179">M755+M762+M958</f>
        <v>829</v>
      </c>
      <c r="N742" s="292">
        <f t="shared" si="1179"/>
        <v>1040</v>
      </c>
      <c r="O742" s="292">
        <f t="shared" si="1179"/>
        <v>1341</v>
      </c>
      <c r="P742" s="292">
        <f t="shared" si="1179"/>
        <v>280</v>
      </c>
      <c r="Q742" s="117">
        <f t="shared" si="1115"/>
        <v>3490</v>
      </c>
      <c r="R742" s="117">
        <f t="shared" si="1116"/>
        <v>0</v>
      </c>
      <c r="S742" s="292">
        <f t="shared" si="1176"/>
        <v>3900</v>
      </c>
      <c r="T742" s="292">
        <f t="shared" si="1176"/>
        <v>3900</v>
      </c>
      <c r="U742" s="292">
        <f t="shared" si="1176"/>
        <v>3900</v>
      </c>
    </row>
    <row r="743" spans="1:21" ht="16.5" customHeight="1">
      <c r="A743" s="34"/>
      <c r="B743" s="33" t="s">
        <v>178</v>
      </c>
      <c r="C743" s="84">
        <v>59</v>
      </c>
      <c r="D743" s="73">
        <f t="shared" ref="D743:U743" si="1180">D758</f>
        <v>268</v>
      </c>
      <c r="E743" s="73">
        <f t="shared" ref="E743:F743" si="1181">E758</f>
        <v>211.74</v>
      </c>
      <c r="F743" s="73">
        <f t="shared" si="1181"/>
        <v>250</v>
      </c>
      <c r="G743" s="73">
        <f t="shared" si="1180"/>
        <v>312</v>
      </c>
      <c r="H743" s="73">
        <f t="shared" si="1180"/>
        <v>250</v>
      </c>
      <c r="I743" s="73">
        <f t="shared" si="1180"/>
        <v>300</v>
      </c>
      <c r="J743" s="73">
        <f t="shared" si="1180"/>
        <v>300</v>
      </c>
      <c r="K743" s="73">
        <f t="shared" ref="K743:L743" si="1182">K758</f>
        <v>300</v>
      </c>
      <c r="L743" s="292">
        <f t="shared" si="1182"/>
        <v>300</v>
      </c>
      <c r="M743" s="292">
        <f t="shared" ref="M743:P743" si="1183">M758</f>
        <v>75</v>
      </c>
      <c r="N743" s="292">
        <f t="shared" si="1183"/>
        <v>75</v>
      </c>
      <c r="O743" s="292">
        <f t="shared" si="1183"/>
        <v>75</v>
      </c>
      <c r="P743" s="292">
        <f t="shared" si="1183"/>
        <v>75</v>
      </c>
      <c r="Q743" s="117">
        <f t="shared" si="1115"/>
        <v>300</v>
      </c>
      <c r="R743" s="117">
        <f t="shared" si="1116"/>
        <v>0</v>
      </c>
      <c r="S743" s="292">
        <f t="shared" si="1180"/>
        <v>350</v>
      </c>
      <c r="T743" s="292">
        <f t="shared" si="1180"/>
        <v>350</v>
      </c>
      <c r="U743" s="292">
        <f t="shared" si="1180"/>
        <v>350</v>
      </c>
    </row>
    <row r="744" spans="1:21" ht="17.25" customHeight="1">
      <c r="A744" s="34"/>
      <c r="B744" s="33" t="s">
        <v>164</v>
      </c>
      <c r="C744" s="84">
        <v>85</v>
      </c>
      <c r="D744" s="73">
        <f t="shared" ref="D744" si="1184">D759+D907</f>
        <v>-674</v>
      </c>
      <c r="E744" s="73">
        <f t="shared" ref="E744:F744" si="1185">E759+E907+E838</f>
        <v>-432.67</v>
      </c>
      <c r="F744" s="73">
        <f t="shared" si="1185"/>
        <v>0</v>
      </c>
      <c r="G744" s="73">
        <f>G759+G907+G838</f>
        <v>0</v>
      </c>
      <c r="H744" s="73">
        <f t="shared" ref="H744:U744" si="1186">H759+H907+H838</f>
        <v>0</v>
      </c>
      <c r="I744" s="73">
        <f t="shared" si="1186"/>
        <v>0</v>
      </c>
      <c r="J744" s="73">
        <f t="shared" si="1186"/>
        <v>0</v>
      </c>
      <c r="K744" s="73">
        <f t="shared" ref="K744:L744" si="1187">K759+K907+K838</f>
        <v>0</v>
      </c>
      <c r="L744" s="292">
        <f t="shared" si="1187"/>
        <v>0</v>
      </c>
      <c r="M744" s="292">
        <f t="shared" ref="M744:P744" si="1188">M759+M907+M838</f>
        <v>0</v>
      </c>
      <c r="N744" s="292">
        <f t="shared" si="1188"/>
        <v>0</v>
      </c>
      <c r="O744" s="292">
        <f t="shared" si="1188"/>
        <v>0</v>
      </c>
      <c r="P744" s="292">
        <f t="shared" si="1188"/>
        <v>0</v>
      </c>
      <c r="Q744" s="117">
        <f t="shared" si="1115"/>
        <v>0</v>
      </c>
      <c r="R744" s="117">
        <f t="shared" si="1116"/>
        <v>0</v>
      </c>
      <c r="S744" s="292">
        <f t="shared" si="1186"/>
        <v>0</v>
      </c>
      <c r="T744" s="292">
        <f t="shared" si="1186"/>
        <v>0</v>
      </c>
      <c r="U744" s="292">
        <f t="shared" si="1186"/>
        <v>0</v>
      </c>
    </row>
    <row r="745" spans="1:21" ht="13.5" customHeight="1">
      <c r="A745" s="34"/>
      <c r="B745" s="26" t="s">
        <v>165</v>
      </c>
      <c r="C745" s="84"/>
      <c r="D745" s="73">
        <f t="shared" ref="D745:U745" si="1189">D765+D839+D908</f>
        <v>4145.08</v>
      </c>
      <c r="E745" s="73">
        <f t="shared" ref="E745:F745" si="1190">E765+E839+E908</f>
        <v>6560.31</v>
      </c>
      <c r="F745" s="73">
        <f t="shared" si="1190"/>
        <v>11924.1</v>
      </c>
      <c r="G745" s="73">
        <f t="shared" si="1189"/>
        <v>11152</v>
      </c>
      <c r="H745" s="73">
        <f t="shared" si="1189"/>
        <v>11923.800000000001</v>
      </c>
      <c r="I745" s="73">
        <f t="shared" si="1189"/>
        <v>25731.160000000003</v>
      </c>
      <c r="J745" s="73">
        <f t="shared" si="1189"/>
        <v>21137</v>
      </c>
      <c r="K745" s="73">
        <f t="shared" ref="K745:L745" si="1191">K765+K839+K908</f>
        <v>25731.160000000003</v>
      </c>
      <c r="L745" s="292">
        <f t="shared" si="1191"/>
        <v>20341</v>
      </c>
      <c r="M745" s="292">
        <f t="shared" ref="M745:P745" si="1192">M765+M839+M908</f>
        <v>6623</v>
      </c>
      <c r="N745" s="292">
        <f t="shared" si="1192"/>
        <v>4579</v>
      </c>
      <c r="O745" s="292">
        <f t="shared" si="1192"/>
        <v>4579</v>
      </c>
      <c r="P745" s="292">
        <f t="shared" si="1192"/>
        <v>4560</v>
      </c>
      <c r="Q745" s="117">
        <f t="shared" si="1115"/>
        <v>20341</v>
      </c>
      <c r="R745" s="117">
        <f t="shared" si="1116"/>
        <v>0</v>
      </c>
      <c r="S745" s="292">
        <f t="shared" si="1189"/>
        <v>13029</v>
      </c>
      <c r="T745" s="292">
        <f t="shared" si="1189"/>
        <v>3610</v>
      </c>
      <c r="U745" s="292">
        <f t="shared" si="1189"/>
        <v>0</v>
      </c>
    </row>
    <row r="746" spans="1:21" ht="12.75" customHeight="1">
      <c r="A746" s="34"/>
      <c r="B746" s="33" t="s">
        <v>171</v>
      </c>
      <c r="C746" s="84">
        <v>51</v>
      </c>
      <c r="D746" s="73">
        <f t="shared" ref="D746:U746" si="1193">D909</f>
        <v>1820</v>
      </c>
      <c r="E746" s="73">
        <f t="shared" ref="E746:F746" si="1194">E909</f>
        <v>245</v>
      </c>
      <c r="F746" s="73">
        <f t="shared" si="1194"/>
        <v>364</v>
      </c>
      <c r="G746" s="73">
        <f t="shared" si="1193"/>
        <v>198</v>
      </c>
      <c r="H746" s="73">
        <f t="shared" si="1193"/>
        <v>364</v>
      </c>
      <c r="I746" s="73">
        <f t="shared" si="1193"/>
        <v>526</v>
      </c>
      <c r="J746" s="73">
        <f t="shared" si="1193"/>
        <v>0</v>
      </c>
      <c r="K746" s="73">
        <f t="shared" ref="K746:L746" si="1195">K909</f>
        <v>526</v>
      </c>
      <c r="L746" s="292">
        <f t="shared" si="1195"/>
        <v>44</v>
      </c>
      <c r="M746" s="292">
        <f t="shared" ref="M746:P746" si="1196">M909</f>
        <v>44</v>
      </c>
      <c r="N746" s="292">
        <f t="shared" si="1196"/>
        <v>0</v>
      </c>
      <c r="O746" s="292">
        <f t="shared" si="1196"/>
        <v>0</v>
      </c>
      <c r="P746" s="292">
        <f t="shared" si="1196"/>
        <v>0</v>
      </c>
      <c r="Q746" s="117">
        <f t="shared" si="1115"/>
        <v>44</v>
      </c>
      <c r="R746" s="117">
        <f t="shared" si="1116"/>
        <v>0</v>
      </c>
      <c r="S746" s="292">
        <f t="shared" si="1193"/>
        <v>0</v>
      </c>
      <c r="T746" s="292">
        <f t="shared" si="1193"/>
        <v>0</v>
      </c>
      <c r="U746" s="292">
        <f t="shared" si="1193"/>
        <v>0</v>
      </c>
    </row>
    <row r="747" spans="1:21" ht="18.75" hidden="1" customHeight="1">
      <c r="A747" s="34"/>
      <c r="B747" s="33" t="s">
        <v>174</v>
      </c>
      <c r="C747" s="84">
        <v>56</v>
      </c>
      <c r="D747" s="73"/>
      <c r="E747" s="197"/>
      <c r="F747" s="73"/>
      <c r="G747" s="73"/>
      <c r="H747" s="73"/>
      <c r="I747" s="197"/>
      <c r="J747" s="197"/>
      <c r="K747" s="197"/>
      <c r="L747" s="282"/>
      <c r="M747" s="282"/>
      <c r="N747" s="282"/>
      <c r="O747" s="282"/>
      <c r="P747" s="282"/>
      <c r="Q747" s="117">
        <f t="shared" si="1115"/>
        <v>0</v>
      </c>
      <c r="R747" s="117">
        <f t="shared" si="1116"/>
        <v>0</v>
      </c>
      <c r="S747" s="282"/>
      <c r="T747" s="282"/>
      <c r="U747" s="282"/>
    </row>
    <row r="748" spans="1:21" ht="18.75" customHeight="1">
      <c r="A748" s="34"/>
      <c r="B748" s="33" t="s">
        <v>174</v>
      </c>
      <c r="C748" s="84">
        <v>58</v>
      </c>
      <c r="D748" s="73">
        <f t="shared" ref="D748:U748" si="1197">D766</f>
        <v>915.08</v>
      </c>
      <c r="E748" s="73">
        <f t="shared" ref="E748:F748" si="1198">E766</f>
        <v>5723.4100000000008</v>
      </c>
      <c r="F748" s="73">
        <f t="shared" si="1198"/>
        <v>10903</v>
      </c>
      <c r="G748" s="73">
        <f t="shared" si="1197"/>
        <v>10388</v>
      </c>
      <c r="H748" s="73">
        <f t="shared" si="1197"/>
        <v>10903</v>
      </c>
      <c r="I748" s="73">
        <f t="shared" si="1197"/>
        <v>24174.520000000004</v>
      </c>
      <c r="J748" s="73">
        <f t="shared" si="1197"/>
        <v>21077</v>
      </c>
      <c r="K748" s="73">
        <f t="shared" ref="K748:L748" si="1199">K766</f>
        <v>24174.520000000004</v>
      </c>
      <c r="L748" s="292">
        <f t="shared" si="1199"/>
        <v>20297</v>
      </c>
      <c r="M748" s="292">
        <f t="shared" ref="M748:P748" si="1200">M766</f>
        <v>6579</v>
      </c>
      <c r="N748" s="292">
        <f t="shared" si="1200"/>
        <v>4579</v>
      </c>
      <c r="O748" s="292">
        <f t="shared" si="1200"/>
        <v>4579</v>
      </c>
      <c r="P748" s="292">
        <f t="shared" si="1200"/>
        <v>4560</v>
      </c>
      <c r="Q748" s="117">
        <f t="shared" si="1115"/>
        <v>20297</v>
      </c>
      <c r="R748" s="117">
        <f t="shared" si="1116"/>
        <v>0</v>
      </c>
      <c r="S748" s="292">
        <f t="shared" si="1197"/>
        <v>13029</v>
      </c>
      <c r="T748" s="292">
        <f t="shared" si="1197"/>
        <v>3610</v>
      </c>
      <c r="U748" s="292">
        <f t="shared" si="1197"/>
        <v>0</v>
      </c>
    </row>
    <row r="749" spans="1:21" ht="14.25" hidden="1" customHeight="1">
      <c r="A749" s="34"/>
      <c r="B749" s="33" t="s">
        <v>194</v>
      </c>
      <c r="C749" s="84">
        <v>70</v>
      </c>
      <c r="D749" s="69">
        <f t="shared" ref="D749:U749" si="1201">D771+D840</f>
        <v>1410</v>
      </c>
      <c r="E749" s="69">
        <f t="shared" ref="E749:F749" si="1202">E771+E840</f>
        <v>591.9</v>
      </c>
      <c r="F749" s="69">
        <f t="shared" si="1202"/>
        <v>657.1</v>
      </c>
      <c r="G749" s="69">
        <f t="shared" si="1201"/>
        <v>566</v>
      </c>
      <c r="H749" s="69">
        <f t="shared" si="1201"/>
        <v>656.80000000000007</v>
      </c>
      <c r="I749" s="69">
        <f t="shared" si="1201"/>
        <v>1030.6399999999999</v>
      </c>
      <c r="J749" s="69">
        <f t="shared" si="1201"/>
        <v>60</v>
      </c>
      <c r="K749" s="69">
        <f t="shared" ref="K749:L749" si="1203">K771+K840</f>
        <v>1030.6399999999999</v>
      </c>
      <c r="L749" s="283">
        <f t="shared" si="1203"/>
        <v>0</v>
      </c>
      <c r="M749" s="283">
        <f t="shared" ref="M749:P749" si="1204">M771+M840</f>
        <v>0</v>
      </c>
      <c r="N749" s="283">
        <f t="shared" si="1204"/>
        <v>0</v>
      </c>
      <c r="O749" s="283">
        <f t="shared" si="1204"/>
        <v>0</v>
      </c>
      <c r="P749" s="283">
        <f t="shared" si="1204"/>
        <v>0</v>
      </c>
      <c r="Q749" s="117">
        <f t="shared" si="1115"/>
        <v>0</v>
      </c>
      <c r="R749" s="117">
        <f t="shared" si="1116"/>
        <v>0</v>
      </c>
      <c r="S749" s="283">
        <f t="shared" si="1201"/>
        <v>0</v>
      </c>
      <c r="T749" s="283">
        <f t="shared" si="1201"/>
        <v>0</v>
      </c>
      <c r="U749" s="283">
        <f t="shared" si="1201"/>
        <v>0</v>
      </c>
    </row>
    <row r="750" spans="1:21" ht="27.75" customHeight="1">
      <c r="A750" s="108" t="s">
        <v>472</v>
      </c>
      <c r="B750" s="31" t="s">
        <v>471</v>
      </c>
      <c r="C750" s="84" t="s">
        <v>332</v>
      </c>
      <c r="D750" s="73">
        <f t="shared" ref="D750:U750" si="1205">D751+D765</f>
        <v>77865.08</v>
      </c>
      <c r="E750" s="73">
        <f t="shared" ref="E750:F750" si="1206">E751+E765</f>
        <v>83956.39</v>
      </c>
      <c r="F750" s="73">
        <f t="shared" si="1206"/>
        <v>92689</v>
      </c>
      <c r="G750" s="73">
        <f t="shared" si="1205"/>
        <v>76854</v>
      </c>
      <c r="H750" s="73">
        <f t="shared" si="1205"/>
        <v>92687.999999999985</v>
      </c>
      <c r="I750" s="73">
        <f t="shared" si="1205"/>
        <v>113947.16</v>
      </c>
      <c r="J750" s="73">
        <f t="shared" si="1205"/>
        <v>103057</v>
      </c>
      <c r="K750" s="73">
        <f t="shared" ref="K750:L750" si="1207">K751+K765</f>
        <v>111147.16</v>
      </c>
      <c r="L750" s="292">
        <f t="shared" si="1207"/>
        <v>82777</v>
      </c>
      <c r="M750" s="292">
        <f t="shared" ref="M750:P750" si="1208">M751+M765</f>
        <v>25954</v>
      </c>
      <c r="N750" s="292">
        <f t="shared" si="1208"/>
        <v>23554</v>
      </c>
      <c r="O750" s="292">
        <f t="shared" si="1208"/>
        <v>23304</v>
      </c>
      <c r="P750" s="292">
        <f t="shared" si="1208"/>
        <v>9965</v>
      </c>
      <c r="Q750" s="117">
        <f t="shared" si="1115"/>
        <v>82777</v>
      </c>
      <c r="R750" s="117">
        <f t="shared" si="1116"/>
        <v>0</v>
      </c>
      <c r="S750" s="292">
        <f t="shared" si="1205"/>
        <v>83204</v>
      </c>
      <c r="T750" s="292">
        <f t="shared" si="1205"/>
        <v>73910</v>
      </c>
      <c r="U750" s="292">
        <f t="shared" si="1205"/>
        <v>70150</v>
      </c>
    </row>
    <row r="751" spans="1:21" ht="14.25">
      <c r="A751" s="34"/>
      <c r="B751" s="24" t="s">
        <v>153</v>
      </c>
      <c r="C751" s="84"/>
      <c r="D751" s="73">
        <f t="shared" ref="D751:U751" si="1209">D752</f>
        <v>76141</v>
      </c>
      <c r="E751" s="73">
        <f t="shared" si="1209"/>
        <v>78183.08</v>
      </c>
      <c r="F751" s="73">
        <f t="shared" si="1209"/>
        <v>81735</v>
      </c>
      <c r="G751" s="73">
        <f t="shared" si="1209"/>
        <v>66434</v>
      </c>
      <c r="H751" s="73">
        <f t="shared" si="1209"/>
        <v>81734.299999999988</v>
      </c>
      <c r="I751" s="73">
        <f t="shared" si="1209"/>
        <v>88930</v>
      </c>
      <c r="J751" s="73">
        <f t="shared" si="1209"/>
        <v>81980</v>
      </c>
      <c r="K751" s="73">
        <f t="shared" si="1209"/>
        <v>86130</v>
      </c>
      <c r="L751" s="292">
        <f t="shared" si="1209"/>
        <v>62480</v>
      </c>
      <c r="M751" s="292">
        <f t="shared" si="1209"/>
        <v>19375</v>
      </c>
      <c r="N751" s="292">
        <f t="shared" si="1209"/>
        <v>18975</v>
      </c>
      <c r="O751" s="292">
        <f t="shared" si="1209"/>
        <v>18725</v>
      </c>
      <c r="P751" s="292">
        <f t="shared" si="1209"/>
        <v>5405</v>
      </c>
      <c r="Q751" s="117">
        <f t="shared" si="1115"/>
        <v>62480</v>
      </c>
      <c r="R751" s="117">
        <f t="shared" si="1116"/>
        <v>0</v>
      </c>
      <c r="S751" s="292">
        <f t="shared" si="1209"/>
        <v>70175</v>
      </c>
      <c r="T751" s="292">
        <f t="shared" si="1209"/>
        <v>70300</v>
      </c>
      <c r="U751" s="292">
        <f t="shared" si="1209"/>
        <v>70150</v>
      </c>
    </row>
    <row r="752" spans="1:21" ht="15">
      <c r="A752" s="34"/>
      <c r="B752" s="33" t="s">
        <v>154</v>
      </c>
      <c r="C752" s="12">
        <v>1</v>
      </c>
      <c r="D752" s="69">
        <f t="shared" ref="D752:U752" si="1210">D753+D754+D755+D758+D759</f>
        <v>76141</v>
      </c>
      <c r="E752" s="69">
        <f t="shared" ref="E752:F752" si="1211">E753+E754+E755+E758+E759</f>
        <v>78183.08</v>
      </c>
      <c r="F752" s="69">
        <f t="shared" si="1211"/>
        <v>81735</v>
      </c>
      <c r="G752" s="69">
        <f t="shared" si="1210"/>
        <v>66434</v>
      </c>
      <c r="H752" s="69">
        <f t="shared" si="1210"/>
        <v>81734.299999999988</v>
      </c>
      <c r="I752" s="69">
        <f t="shared" si="1210"/>
        <v>88930</v>
      </c>
      <c r="J752" s="69">
        <f t="shared" si="1210"/>
        <v>81980</v>
      </c>
      <c r="K752" s="69">
        <f t="shared" ref="K752:L752" si="1212">K753+K754+K755+K758+K759</f>
        <v>86130</v>
      </c>
      <c r="L752" s="283">
        <f t="shared" si="1212"/>
        <v>62480</v>
      </c>
      <c r="M752" s="283">
        <f t="shared" ref="M752:P752" si="1213">M753+M754+M755+M758+M759</f>
        <v>19375</v>
      </c>
      <c r="N752" s="283">
        <f t="shared" si="1213"/>
        <v>18975</v>
      </c>
      <c r="O752" s="283">
        <f t="shared" si="1213"/>
        <v>18725</v>
      </c>
      <c r="P752" s="283">
        <f t="shared" si="1213"/>
        <v>5405</v>
      </c>
      <c r="Q752" s="117">
        <f t="shared" si="1115"/>
        <v>62480</v>
      </c>
      <c r="R752" s="117">
        <f t="shared" si="1116"/>
        <v>0</v>
      </c>
      <c r="S752" s="283">
        <f t="shared" si="1210"/>
        <v>70175</v>
      </c>
      <c r="T752" s="283">
        <f t="shared" si="1210"/>
        <v>70300</v>
      </c>
      <c r="U752" s="283">
        <f t="shared" si="1210"/>
        <v>70150</v>
      </c>
    </row>
    <row r="753" spans="1:21" ht="15.75" customHeight="1">
      <c r="A753" s="34"/>
      <c r="B753" s="33" t="s">
        <v>155</v>
      </c>
      <c r="C753" s="12">
        <v>10</v>
      </c>
      <c r="D753" s="68">
        <v>66842</v>
      </c>
      <c r="E753" s="197">
        <v>69522.399999999994</v>
      </c>
      <c r="F753" s="68">
        <v>70700</v>
      </c>
      <c r="G753" s="68">
        <f>76000-19000-600</f>
        <v>56400</v>
      </c>
      <c r="H753" s="68">
        <v>70700</v>
      </c>
      <c r="I753" s="197">
        <v>75000</v>
      </c>
      <c r="J753" s="197">
        <v>72000</v>
      </c>
      <c r="K753" s="197">
        <v>72200</v>
      </c>
      <c r="L753" s="282">
        <v>55000</v>
      </c>
      <c r="M753" s="282">
        <f>15240+1760</f>
        <v>17000</v>
      </c>
      <c r="N753" s="282">
        <f>4000+13000+100</f>
        <v>17100</v>
      </c>
      <c r="O753" s="282">
        <f>5930+1500+11070-1500+100</f>
        <v>17100</v>
      </c>
      <c r="P753" s="282">
        <f>5924-1924-200</f>
        <v>3800</v>
      </c>
      <c r="Q753" s="117">
        <f t="shared" si="1115"/>
        <v>55000</v>
      </c>
      <c r="R753" s="117">
        <f t="shared" si="1116"/>
        <v>0</v>
      </c>
      <c r="S753" s="282">
        <f>65000-2375</f>
        <v>62625</v>
      </c>
      <c r="T753" s="282">
        <f>65000-2250</f>
        <v>62750</v>
      </c>
      <c r="U753" s="282">
        <f>65000-2400</f>
        <v>62600</v>
      </c>
    </row>
    <row r="754" spans="1:21" ht="14.25" customHeight="1">
      <c r="A754" s="34"/>
      <c r="B754" s="33" t="s">
        <v>588</v>
      </c>
      <c r="C754" s="12">
        <v>20</v>
      </c>
      <c r="D754" s="68">
        <v>8842</v>
      </c>
      <c r="E754" s="197">
        <v>8092.7</v>
      </c>
      <c r="F754" s="68">
        <v>9599</v>
      </c>
      <c r="G754" s="68">
        <v>8500</v>
      </c>
      <c r="H754" s="68">
        <v>9598.93</v>
      </c>
      <c r="I754" s="197">
        <v>12450</v>
      </c>
      <c r="J754" s="197">
        <v>8500</v>
      </c>
      <c r="K754" s="197">
        <v>12450</v>
      </c>
      <c r="L754" s="282">
        <v>6000</v>
      </c>
      <c r="M754" s="282">
        <v>2000</v>
      </c>
      <c r="N754" s="282">
        <v>1500</v>
      </c>
      <c r="O754" s="282">
        <f>1500-250</f>
        <v>1250</v>
      </c>
      <c r="P754" s="282">
        <f>1000+250</f>
        <v>1250</v>
      </c>
      <c r="Q754" s="117">
        <f t="shared" si="1115"/>
        <v>6000</v>
      </c>
      <c r="R754" s="117">
        <f t="shared" si="1116"/>
        <v>0</v>
      </c>
      <c r="S754" s="282">
        <v>6000</v>
      </c>
      <c r="T754" s="282">
        <v>6000</v>
      </c>
      <c r="U754" s="282">
        <v>6000</v>
      </c>
    </row>
    <row r="755" spans="1:21" ht="15.75" customHeight="1">
      <c r="A755" s="34"/>
      <c r="B755" s="33" t="s">
        <v>258</v>
      </c>
      <c r="C755" s="12">
        <v>57</v>
      </c>
      <c r="D755" s="66">
        <f t="shared" ref="D755" si="1214">D756+D757</f>
        <v>863</v>
      </c>
      <c r="E755" s="66">
        <f t="shared" ref="E755:F755" si="1215">E756+E757</f>
        <v>788.91</v>
      </c>
      <c r="F755" s="66">
        <f t="shared" si="1215"/>
        <v>1186</v>
      </c>
      <c r="G755" s="66">
        <f t="shared" ref="G755:U755" si="1216">G756+G757</f>
        <v>1222</v>
      </c>
      <c r="H755" s="66">
        <f t="shared" si="1216"/>
        <v>1185.3699999999999</v>
      </c>
      <c r="I755" s="66">
        <f t="shared" si="1216"/>
        <v>1180</v>
      </c>
      <c r="J755" s="66">
        <f t="shared" si="1216"/>
        <v>1180</v>
      </c>
      <c r="K755" s="66">
        <f t="shared" ref="K755:L755" si="1217">K756+K757</f>
        <v>1180</v>
      </c>
      <c r="L755" s="288">
        <f t="shared" si="1217"/>
        <v>1180</v>
      </c>
      <c r="M755" s="288">
        <f t="shared" ref="M755:P755" si="1218">M756+M757</f>
        <v>300</v>
      </c>
      <c r="N755" s="288">
        <f t="shared" si="1218"/>
        <v>300</v>
      </c>
      <c r="O755" s="288">
        <f t="shared" si="1218"/>
        <v>300</v>
      </c>
      <c r="P755" s="288">
        <f t="shared" si="1218"/>
        <v>280</v>
      </c>
      <c r="Q755" s="117">
        <f t="shared" si="1115"/>
        <v>1180</v>
      </c>
      <c r="R755" s="117">
        <f t="shared" si="1116"/>
        <v>0</v>
      </c>
      <c r="S755" s="288">
        <f t="shared" si="1216"/>
        <v>1200</v>
      </c>
      <c r="T755" s="288">
        <f t="shared" si="1216"/>
        <v>1200</v>
      </c>
      <c r="U755" s="288">
        <f t="shared" si="1216"/>
        <v>1200</v>
      </c>
    </row>
    <row r="756" spans="1:21" ht="18" customHeight="1">
      <c r="A756" s="34"/>
      <c r="B756" s="33" t="s">
        <v>177</v>
      </c>
      <c r="C756" s="12" t="s">
        <v>269</v>
      </c>
      <c r="D756" s="66">
        <v>405</v>
      </c>
      <c r="E756" s="197">
        <v>455.95</v>
      </c>
      <c r="F756" s="68">
        <v>617</v>
      </c>
      <c r="G756" s="68">
        <v>570</v>
      </c>
      <c r="H756" s="68">
        <v>616.98</v>
      </c>
      <c r="I756" s="197">
        <v>510</v>
      </c>
      <c r="J756" s="197">
        <v>510</v>
      </c>
      <c r="K756" s="197">
        <v>510</v>
      </c>
      <c r="L756" s="282">
        <v>510</v>
      </c>
      <c r="M756" s="282">
        <v>130</v>
      </c>
      <c r="N756" s="282">
        <v>130</v>
      </c>
      <c r="O756" s="282">
        <v>130</v>
      </c>
      <c r="P756" s="282">
        <v>120</v>
      </c>
      <c r="Q756" s="117">
        <f t="shared" si="1115"/>
        <v>510</v>
      </c>
      <c r="R756" s="117">
        <f t="shared" si="1116"/>
        <v>0</v>
      </c>
      <c r="S756" s="282">
        <v>600</v>
      </c>
      <c r="T756" s="282">
        <v>600</v>
      </c>
      <c r="U756" s="282">
        <v>600</v>
      </c>
    </row>
    <row r="757" spans="1:21" ht="18" customHeight="1">
      <c r="A757" s="34"/>
      <c r="B757" s="33" t="s">
        <v>333</v>
      </c>
      <c r="C757" s="12" t="s">
        <v>280</v>
      </c>
      <c r="D757" s="66">
        <v>458</v>
      </c>
      <c r="E757" s="197">
        <v>332.96</v>
      </c>
      <c r="F757" s="68">
        <v>569</v>
      </c>
      <c r="G757" s="68">
        <v>652</v>
      </c>
      <c r="H757" s="68">
        <v>568.39</v>
      </c>
      <c r="I757" s="197">
        <v>670</v>
      </c>
      <c r="J757" s="197">
        <v>670</v>
      </c>
      <c r="K757" s="197">
        <v>670</v>
      </c>
      <c r="L757" s="282">
        <v>670</v>
      </c>
      <c r="M757" s="282">
        <v>170</v>
      </c>
      <c r="N757" s="282">
        <v>170</v>
      </c>
      <c r="O757" s="282">
        <v>170</v>
      </c>
      <c r="P757" s="282">
        <v>160</v>
      </c>
      <c r="Q757" s="117">
        <f t="shared" si="1115"/>
        <v>670</v>
      </c>
      <c r="R757" s="117">
        <f t="shared" si="1116"/>
        <v>0</v>
      </c>
      <c r="S757" s="282">
        <v>600</v>
      </c>
      <c r="T757" s="282">
        <v>600</v>
      </c>
      <c r="U757" s="282">
        <v>600</v>
      </c>
    </row>
    <row r="758" spans="1:21" ht="15.75" customHeight="1">
      <c r="A758" s="34"/>
      <c r="B758" s="33" t="s">
        <v>334</v>
      </c>
      <c r="C758" s="12" t="s">
        <v>642</v>
      </c>
      <c r="D758" s="68">
        <v>268</v>
      </c>
      <c r="E758" s="197">
        <v>211.74</v>
      </c>
      <c r="F758" s="68">
        <v>250</v>
      </c>
      <c r="G758" s="68">
        <v>312</v>
      </c>
      <c r="H758" s="68">
        <v>250</v>
      </c>
      <c r="I758" s="197">
        <v>300</v>
      </c>
      <c r="J758" s="197">
        <v>300</v>
      </c>
      <c r="K758" s="197">
        <v>300</v>
      </c>
      <c r="L758" s="282">
        <v>300</v>
      </c>
      <c r="M758" s="282">
        <v>75</v>
      </c>
      <c r="N758" s="282">
        <v>75</v>
      </c>
      <c r="O758" s="282">
        <v>75</v>
      </c>
      <c r="P758" s="282">
        <v>75</v>
      </c>
      <c r="Q758" s="117">
        <f t="shared" si="1115"/>
        <v>300</v>
      </c>
      <c r="R758" s="117">
        <f t="shared" si="1116"/>
        <v>0</v>
      </c>
      <c r="S758" s="282">
        <v>350</v>
      </c>
      <c r="T758" s="282">
        <v>350</v>
      </c>
      <c r="U758" s="282">
        <v>350</v>
      </c>
    </row>
    <row r="759" spans="1:21" ht="32.25" hidden="1" customHeight="1">
      <c r="A759" s="34"/>
      <c r="B759" s="32" t="s">
        <v>627</v>
      </c>
      <c r="C759" s="12" t="s">
        <v>252</v>
      </c>
      <c r="D759" s="156">
        <v>-674</v>
      </c>
      <c r="E759" s="197">
        <v>-432.67</v>
      </c>
      <c r="F759" s="68"/>
      <c r="G759" s="68"/>
      <c r="H759" s="68"/>
      <c r="I759" s="197"/>
      <c r="J759" s="197"/>
      <c r="K759" s="197"/>
      <c r="L759" s="282"/>
      <c r="M759" s="282"/>
      <c r="N759" s="282"/>
      <c r="O759" s="282"/>
      <c r="P759" s="282"/>
      <c r="Q759" s="117">
        <f t="shared" si="1115"/>
        <v>0</v>
      </c>
      <c r="R759" s="117">
        <f t="shared" si="1116"/>
        <v>0</v>
      </c>
      <c r="S759" s="282"/>
      <c r="T759" s="282"/>
      <c r="U759" s="282"/>
    </row>
    <row r="760" spans="1:21" ht="15.75" customHeight="1">
      <c r="A760" s="109" t="s">
        <v>473</v>
      </c>
      <c r="B760" s="26" t="s">
        <v>335</v>
      </c>
      <c r="C760" s="84" t="s">
        <v>332</v>
      </c>
      <c r="D760" s="73">
        <f t="shared" ref="D760:U760" si="1219">D761+D762</f>
        <v>1059</v>
      </c>
      <c r="E760" s="73">
        <f t="shared" ref="E760:F760" si="1220">E761+E762</f>
        <v>735.75</v>
      </c>
      <c r="F760" s="73">
        <f t="shared" si="1220"/>
        <v>967</v>
      </c>
      <c r="G760" s="73">
        <f t="shared" si="1219"/>
        <v>967</v>
      </c>
      <c r="H760" s="73">
        <f t="shared" si="1219"/>
        <v>967</v>
      </c>
      <c r="I760" s="73">
        <f t="shared" si="1219"/>
        <v>2000</v>
      </c>
      <c r="J760" s="73">
        <f t="shared" si="1219"/>
        <v>2000</v>
      </c>
      <c r="K760" s="73">
        <f t="shared" ref="K760:L760" si="1221">K761+K762</f>
        <v>2000</v>
      </c>
      <c r="L760" s="292">
        <f t="shared" si="1221"/>
        <v>1610</v>
      </c>
      <c r="M760" s="292">
        <f t="shared" ref="M760:P760" si="1222">M761+M762</f>
        <v>529</v>
      </c>
      <c r="N760" s="292">
        <f t="shared" si="1222"/>
        <v>540</v>
      </c>
      <c r="O760" s="292">
        <f t="shared" si="1222"/>
        <v>541</v>
      </c>
      <c r="P760" s="292">
        <f t="shared" si="1222"/>
        <v>0</v>
      </c>
      <c r="Q760" s="117">
        <f t="shared" si="1115"/>
        <v>1610</v>
      </c>
      <c r="R760" s="117">
        <f t="shared" si="1116"/>
        <v>0</v>
      </c>
      <c r="S760" s="292">
        <f t="shared" si="1219"/>
        <v>2000</v>
      </c>
      <c r="T760" s="292">
        <f t="shared" si="1219"/>
        <v>2000</v>
      </c>
      <c r="U760" s="292">
        <f t="shared" si="1219"/>
        <v>2000</v>
      </c>
    </row>
    <row r="761" spans="1:21" ht="12" hidden="1" customHeight="1">
      <c r="A761" s="34"/>
      <c r="B761" s="33" t="s">
        <v>336</v>
      </c>
      <c r="C761" s="12">
        <v>20</v>
      </c>
      <c r="D761" s="68"/>
      <c r="E761" s="197"/>
      <c r="F761" s="68"/>
      <c r="G761" s="68"/>
      <c r="H761" s="68"/>
      <c r="I761" s="197"/>
      <c r="J761" s="197"/>
      <c r="K761" s="197"/>
      <c r="L761" s="282"/>
      <c r="M761" s="282"/>
      <c r="N761" s="282"/>
      <c r="O761" s="282"/>
      <c r="P761" s="282"/>
      <c r="Q761" s="117">
        <f t="shared" si="1115"/>
        <v>0</v>
      </c>
      <c r="R761" s="117">
        <f t="shared" si="1116"/>
        <v>0</v>
      </c>
      <c r="S761" s="282"/>
      <c r="T761" s="282"/>
      <c r="U761" s="282"/>
    </row>
    <row r="762" spans="1:21" ht="15.75" customHeight="1">
      <c r="A762" s="34"/>
      <c r="B762" s="33" t="s">
        <v>337</v>
      </c>
      <c r="C762" s="84">
        <v>57.02</v>
      </c>
      <c r="D762" s="69">
        <f t="shared" ref="D762:U762" si="1223">D763+D764</f>
        <v>1059</v>
      </c>
      <c r="E762" s="69">
        <f t="shared" ref="E762:F762" si="1224">E763+E764</f>
        <v>735.75</v>
      </c>
      <c r="F762" s="69">
        <f t="shared" si="1224"/>
        <v>967</v>
      </c>
      <c r="G762" s="69">
        <f t="shared" si="1223"/>
        <v>967</v>
      </c>
      <c r="H762" s="69">
        <f t="shared" si="1223"/>
        <v>967</v>
      </c>
      <c r="I762" s="69">
        <f t="shared" si="1223"/>
        <v>2000</v>
      </c>
      <c r="J762" s="69">
        <f t="shared" si="1223"/>
        <v>2000</v>
      </c>
      <c r="K762" s="69">
        <f t="shared" ref="K762:L762" si="1225">K763+K764</f>
        <v>2000</v>
      </c>
      <c r="L762" s="283">
        <f t="shared" si="1225"/>
        <v>1610</v>
      </c>
      <c r="M762" s="283">
        <f t="shared" ref="M762:P762" si="1226">M763+M764</f>
        <v>529</v>
      </c>
      <c r="N762" s="283">
        <f t="shared" si="1226"/>
        <v>540</v>
      </c>
      <c r="O762" s="283">
        <f t="shared" si="1226"/>
        <v>541</v>
      </c>
      <c r="P762" s="283">
        <f t="shared" si="1226"/>
        <v>0</v>
      </c>
      <c r="Q762" s="117">
        <f t="shared" si="1115"/>
        <v>1610</v>
      </c>
      <c r="R762" s="117">
        <f t="shared" si="1116"/>
        <v>0</v>
      </c>
      <c r="S762" s="283">
        <f t="shared" si="1223"/>
        <v>2000</v>
      </c>
      <c r="T762" s="283">
        <f t="shared" si="1223"/>
        <v>2000</v>
      </c>
      <c r="U762" s="283">
        <f t="shared" si="1223"/>
        <v>2000</v>
      </c>
    </row>
    <row r="763" spans="1:21" ht="19.5" customHeight="1">
      <c r="A763" s="34"/>
      <c r="B763" s="33" t="s">
        <v>177</v>
      </c>
      <c r="C763" s="12" t="s">
        <v>269</v>
      </c>
      <c r="D763" s="68">
        <v>98</v>
      </c>
      <c r="E763" s="197">
        <v>110</v>
      </c>
      <c r="F763" s="68">
        <v>112</v>
      </c>
      <c r="G763" s="68">
        <v>101</v>
      </c>
      <c r="H763" s="68">
        <v>112</v>
      </c>
      <c r="I763" s="197">
        <v>300</v>
      </c>
      <c r="J763" s="197">
        <v>300</v>
      </c>
      <c r="K763" s="197">
        <v>300</v>
      </c>
      <c r="L763" s="282">
        <v>121</v>
      </c>
      <c r="M763" s="282">
        <v>40</v>
      </c>
      <c r="N763" s="282">
        <v>40</v>
      </c>
      <c r="O763" s="282">
        <v>41</v>
      </c>
      <c r="P763" s="282"/>
      <c r="Q763" s="117">
        <f t="shared" si="1115"/>
        <v>121</v>
      </c>
      <c r="R763" s="117">
        <f t="shared" si="1116"/>
        <v>0</v>
      </c>
      <c r="S763" s="282">
        <v>300</v>
      </c>
      <c r="T763" s="282">
        <v>300</v>
      </c>
      <c r="U763" s="282">
        <v>300</v>
      </c>
    </row>
    <row r="764" spans="1:21" ht="17.25" customHeight="1">
      <c r="A764" s="34"/>
      <c r="B764" s="33" t="s">
        <v>338</v>
      </c>
      <c r="C764" s="12" t="s">
        <v>280</v>
      </c>
      <c r="D764" s="68">
        <v>961</v>
      </c>
      <c r="E764" s="197">
        <v>625.75</v>
      </c>
      <c r="F764" s="68">
        <v>855</v>
      </c>
      <c r="G764" s="68">
        <v>866</v>
      </c>
      <c r="H764" s="68">
        <v>855</v>
      </c>
      <c r="I764" s="197">
        <v>1700</v>
      </c>
      <c r="J764" s="197">
        <v>1700</v>
      </c>
      <c r="K764" s="197">
        <v>1700</v>
      </c>
      <c r="L764" s="282">
        <v>1489</v>
      </c>
      <c r="M764" s="282">
        <v>489</v>
      </c>
      <c r="N764" s="282">
        <v>500</v>
      </c>
      <c r="O764" s="282">
        <v>500</v>
      </c>
      <c r="P764" s="282"/>
      <c r="Q764" s="117">
        <f t="shared" si="1115"/>
        <v>1489</v>
      </c>
      <c r="R764" s="117">
        <f t="shared" si="1116"/>
        <v>0</v>
      </c>
      <c r="S764" s="282">
        <v>1700</v>
      </c>
      <c r="T764" s="282">
        <v>1700</v>
      </c>
      <c r="U764" s="282">
        <v>1700</v>
      </c>
    </row>
    <row r="765" spans="1:21" ht="12.75" customHeight="1">
      <c r="A765" s="34"/>
      <c r="B765" s="26" t="s">
        <v>165</v>
      </c>
      <c r="C765" s="12"/>
      <c r="D765" s="73">
        <f t="shared" ref="D765:U765" si="1227">D766+D770+D771</f>
        <v>1724.08</v>
      </c>
      <c r="E765" s="73">
        <f t="shared" ref="E765:F765" si="1228">E766+E770+E771</f>
        <v>5773.31</v>
      </c>
      <c r="F765" s="73">
        <f t="shared" si="1228"/>
        <v>10954</v>
      </c>
      <c r="G765" s="73">
        <f t="shared" si="1227"/>
        <v>10420</v>
      </c>
      <c r="H765" s="73">
        <f t="shared" si="1227"/>
        <v>10953.7</v>
      </c>
      <c r="I765" s="73">
        <f t="shared" si="1227"/>
        <v>25017.160000000003</v>
      </c>
      <c r="J765" s="73">
        <f t="shared" si="1227"/>
        <v>21077</v>
      </c>
      <c r="K765" s="73">
        <f t="shared" ref="K765:L765" si="1229">K766+K770+K771</f>
        <v>25017.160000000003</v>
      </c>
      <c r="L765" s="292">
        <f t="shared" si="1229"/>
        <v>20297</v>
      </c>
      <c r="M765" s="292">
        <f t="shared" ref="M765:P765" si="1230">M766+M770+M771</f>
        <v>6579</v>
      </c>
      <c r="N765" s="292">
        <f t="shared" si="1230"/>
        <v>4579</v>
      </c>
      <c r="O765" s="292">
        <f t="shared" si="1230"/>
        <v>4579</v>
      </c>
      <c r="P765" s="292">
        <f t="shared" si="1230"/>
        <v>4560</v>
      </c>
      <c r="Q765" s="117">
        <f t="shared" si="1115"/>
        <v>20297</v>
      </c>
      <c r="R765" s="117">
        <f t="shared" si="1116"/>
        <v>0</v>
      </c>
      <c r="S765" s="292">
        <f t="shared" si="1227"/>
        <v>13029</v>
      </c>
      <c r="T765" s="292">
        <f t="shared" si="1227"/>
        <v>3610</v>
      </c>
      <c r="U765" s="292">
        <f t="shared" si="1227"/>
        <v>0</v>
      </c>
    </row>
    <row r="766" spans="1:21" ht="15" customHeight="1">
      <c r="A766" s="34"/>
      <c r="B766" s="33" t="s">
        <v>174</v>
      </c>
      <c r="C766" s="84">
        <v>58</v>
      </c>
      <c r="D766" s="66">
        <f t="shared" ref="D766" si="1231">D777+D783+D789+D794+D799+D804+D809</f>
        <v>915.08</v>
      </c>
      <c r="E766" s="66">
        <f t="shared" ref="E766" si="1232">E777+E783+E789+E794+E799+E804+E809+E815+E821+E827</f>
        <v>5723.4100000000008</v>
      </c>
      <c r="F766" s="66">
        <f>F777+F783+F789+F794+F799+F804+F809+F815+F821+F827</f>
        <v>10903</v>
      </c>
      <c r="G766" s="66">
        <f>G777+G783+G789+G794+G799+G804+G809+G815+G821+G827</f>
        <v>10388</v>
      </c>
      <c r="H766" s="66">
        <f>H777+H783+H789+H794+H799+H804+H809+H815+H821+H827</f>
        <v>10903</v>
      </c>
      <c r="I766" s="66">
        <f t="shared" ref="I766:U766" si="1233">I777+I783+I789+I794+I799+I804+I809+I815+I821+I827</f>
        <v>24174.520000000004</v>
      </c>
      <c r="J766" s="66">
        <f t="shared" si="1233"/>
        <v>21077</v>
      </c>
      <c r="K766" s="66">
        <f t="shared" ref="K766:L766" si="1234">K777+K783+K789+K794+K799+K804+K809+K815+K821+K827</f>
        <v>24174.520000000004</v>
      </c>
      <c r="L766" s="288">
        <f t="shared" si="1234"/>
        <v>20297</v>
      </c>
      <c r="M766" s="288">
        <f t="shared" ref="M766:P766" si="1235">M777+M783+M789+M794+M799+M804+M809+M815+M821+M827</f>
        <v>6579</v>
      </c>
      <c r="N766" s="288">
        <f t="shared" si="1235"/>
        <v>4579</v>
      </c>
      <c r="O766" s="288">
        <f t="shared" si="1235"/>
        <v>4579</v>
      </c>
      <c r="P766" s="288">
        <f t="shared" si="1235"/>
        <v>4560</v>
      </c>
      <c r="Q766" s="117">
        <f t="shared" si="1115"/>
        <v>20297</v>
      </c>
      <c r="R766" s="117">
        <f t="shared" si="1116"/>
        <v>0</v>
      </c>
      <c r="S766" s="288">
        <f t="shared" si="1233"/>
        <v>13029</v>
      </c>
      <c r="T766" s="288">
        <f t="shared" si="1233"/>
        <v>3610</v>
      </c>
      <c r="U766" s="288">
        <f t="shared" si="1233"/>
        <v>0</v>
      </c>
    </row>
    <row r="767" spans="1:21" ht="0.75" customHeight="1">
      <c r="A767" s="34"/>
      <c r="B767" s="33" t="s">
        <v>339</v>
      </c>
      <c r="C767" s="12" t="s">
        <v>206</v>
      </c>
      <c r="D767" s="68"/>
      <c r="E767" s="197"/>
      <c r="F767" s="68"/>
      <c r="G767" s="68"/>
      <c r="H767" s="68"/>
      <c r="I767" s="197"/>
      <c r="J767" s="197"/>
      <c r="K767" s="197"/>
      <c r="L767" s="282"/>
      <c r="M767" s="282"/>
      <c r="N767" s="282"/>
      <c r="O767" s="282"/>
      <c r="P767" s="282"/>
      <c r="Q767" s="117">
        <f t="shared" si="1115"/>
        <v>0</v>
      </c>
      <c r="R767" s="117">
        <f t="shared" si="1116"/>
        <v>0</v>
      </c>
      <c r="S767" s="282"/>
      <c r="T767" s="282"/>
      <c r="U767" s="282"/>
    </row>
    <row r="768" spans="1:21" ht="14.25" hidden="1" customHeight="1">
      <c r="A768" s="34"/>
      <c r="B768" s="33" t="s">
        <v>207</v>
      </c>
      <c r="C768" s="12" t="s">
        <v>208</v>
      </c>
      <c r="D768" s="68"/>
      <c r="E768" s="197"/>
      <c r="F768" s="68"/>
      <c r="G768" s="68"/>
      <c r="H768" s="68"/>
      <c r="I768" s="197"/>
      <c r="J768" s="197"/>
      <c r="K768" s="197"/>
      <c r="L768" s="282"/>
      <c r="M768" s="282"/>
      <c r="N768" s="282"/>
      <c r="O768" s="282"/>
      <c r="P768" s="282"/>
      <c r="Q768" s="117">
        <f t="shared" si="1115"/>
        <v>0</v>
      </c>
      <c r="R768" s="117">
        <f t="shared" si="1116"/>
        <v>0</v>
      </c>
      <c r="S768" s="282"/>
      <c r="T768" s="282"/>
      <c r="U768" s="282"/>
    </row>
    <row r="769" spans="1:21" ht="18" hidden="1" customHeight="1">
      <c r="A769" s="34"/>
      <c r="B769" s="33" t="s">
        <v>210</v>
      </c>
      <c r="C769" s="12" t="s">
        <v>209</v>
      </c>
      <c r="D769" s="68"/>
      <c r="E769" s="197"/>
      <c r="F769" s="68"/>
      <c r="G769" s="68"/>
      <c r="H769" s="68"/>
      <c r="I769" s="197"/>
      <c r="J769" s="197"/>
      <c r="K769" s="197"/>
      <c r="L769" s="282"/>
      <c r="M769" s="282"/>
      <c r="N769" s="282"/>
      <c r="O769" s="282"/>
      <c r="P769" s="282"/>
      <c r="Q769" s="117">
        <f t="shared" si="1115"/>
        <v>0</v>
      </c>
      <c r="R769" s="117">
        <f t="shared" si="1116"/>
        <v>0</v>
      </c>
      <c r="S769" s="282"/>
      <c r="T769" s="282"/>
      <c r="U769" s="282"/>
    </row>
    <row r="770" spans="1:21" ht="14.25" hidden="1" customHeight="1">
      <c r="A770" s="34"/>
      <c r="B770" s="33" t="s">
        <v>174</v>
      </c>
      <c r="C770" s="84" t="s">
        <v>340</v>
      </c>
      <c r="D770" s="75"/>
      <c r="E770" s="197"/>
      <c r="F770" s="75"/>
      <c r="G770" s="75"/>
      <c r="H770" s="75"/>
      <c r="I770" s="197"/>
      <c r="J770" s="197"/>
      <c r="K770" s="197"/>
      <c r="L770" s="282"/>
      <c r="M770" s="282"/>
      <c r="N770" s="282"/>
      <c r="O770" s="282"/>
      <c r="P770" s="282"/>
      <c r="Q770" s="117">
        <f t="shared" si="1115"/>
        <v>0</v>
      </c>
      <c r="R770" s="117">
        <f t="shared" si="1116"/>
        <v>0</v>
      </c>
      <c r="S770" s="282"/>
      <c r="T770" s="282"/>
      <c r="U770" s="282"/>
    </row>
    <row r="771" spans="1:21" ht="15" customHeight="1">
      <c r="A771" s="34"/>
      <c r="B771" s="33" t="s">
        <v>194</v>
      </c>
      <c r="C771" s="84">
        <v>70</v>
      </c>
      <c r="D771" s="73">
        <v>809</v>
      </c>
      <c r="E771" s="197">
        <v>49.9</v>
      </c>
      <c r="F771" s="73">
        <v>51</v>
      </c>
      <c r="G771" s="73">
        <v>32</v>
      </c>
      <c r="H771" s="73">
        <v>50.7</v>
      </c>
      <c r="I771" s="197">
        <v>842.64</v>
      </c>
      <c r="J771" s="197"/>
      <c r="K771" s="197">
        <v>842.64</v>
      </c>
      <c r="L771" s="282">
        <v>0</v>
      </c>
      <c r="M771" s="282">
        <v>0</v>
      </c>
      <c r="N771" s="282">
        <v>0</v>
      </c>
      <c r="O771" s="282">
        <v>0</v>
      </c>
      <c r="P771" s="282">
        <v>0</v>
      </c>
      <c r="Q771" s="117">
        <f t="shared" si="1115"/>
        <v>0</v>
      </c>
      <c r="R771" s="117">
        <f t="shared" si="1116"/>
        <v>0</v>
      </c>
      <c r="S771" s="282">
        <v>0</v>
      </c>
      <c r="T771" s="282">
        <v>0</v>
      </c>
      <c r="U771" s="282">
        <v>0</v>
      </c>
    </row>
    <row r="772" spans="1:21" ht="0.75" customHeight="1">
      <c r="A772" s="34"/>
      <c r="B772" s="33" t="s">
        <v>195</v>
      </c>
      <c r="C772" s="12" t="s">
        <v>196</v>
      </c>
      <c r="D772" s="68"/>
      <c r="E772" s="197"/>
      <c r="F772" s="68"/>
      <c r="G772" s="68"/>
      <c r="H772" s="68"/>
      <c r="I772" s="197"/>
      <c r="J772" s="197"/>
      <c r="K772" s="197"/>
      <c r="L772" s="282"/>
      <c r="M772" s="282"/>
      <c r="N772" s="282"/>
      <c r="O772" s="282"/>
      <c r="P772" s="282"/>
      <c r="Q772" s="117">
        <f t="shared" si="1115"/>
        <v>0</v>
      </c>
      <c r="R772" s="117">
        <f t="shared" si="1116"/>
        <v>0</v>
      </c>
      <c r="S772" s="282"/>
      <c r="T772" s="282"/>
      <c r="U772" s="282"/>
    </row>
    <row r="773" spans="1:21" ht="21" hidden="1" customHeight="1">
      <c r="A773" s="34"/>
      <c r="B773" s="33" t="s">
        <v>246</v>
      </c>
      <c r="C773" s="12" t="s">
        <v>198</v>
      </c>
      <c r="D773" s="68"/>
      <c r="E773" s="197"/>
      <c r="F773" s="68"/>
      <c r="G773" s="68"/>
      <c r="H773" s="68"/>
      <c r="I773" s="197"/>
      <c r="J773" s="197"/>
      <c r="K773" s="197"/>
      <c r="L773" s="282"/>
      <c r="M773" s="282"/>
      <c r="N773" s="282"/>
      <c r="O773" s="282"/>
      <c r="P773" s="282"/>
      <c r="Q773" s="117">
        <f t="shared" si="1115"/>
        <v>0</v>
      </c>
      <c r="R773" s="117">
        <f t="shared" si="1116"/>
        <v>0</v>
      </c>
      <c r="S773" s="282"/>
      <c r="T773" s="282"/>
      <c r="U773" s="282"/>
    </row>
    <row r="774" spans="1:21" ht="21" hidden="1" customHeight="1">
      <c r="A774" s="34"/>
      <c r="B774" s="33" t="s">
        <v>341</v>
      </c>
      <c r="C774" s="12" t="s">
        <v>200</v>
      </c>
      <c r="D774" s="68"/>
      <c r="E774" s="197"/>
      <c r="F774" s="68"/>
      <c r="G774" s="68"/>
      <c r="H774" s="68"/>
      <c r="I774" s="197"/>
      <c r="J774" s="197"/>
      <c r="K774" s="197"/>
      <c r="L774" s="282"/>
      <c r="M774" s="282"/>
      <c r="N774" s="282"/>
      <c r="O774" s="282"/>
      <c r="P774" s="282"/>
      <c r="Q774" s="117">
        <f t="shared" si="1115"/>
        <v>0</v>
      </c>
      <c r="R774" s="117">
        <f t="shared" si="1116"/>
        <v>0</v>
      </c>
      <c r="S774" s="282"/>
      <c r="T774" s="282"/>
      <c r="U774" s="282"/>
    </row>
    <row r="775" spans="1:21" ht="21" hidden="1" customHeight="1">
      <c r="A775" s="34"/>
      <c r="B775" s="33" t="s">
        <v>201</v>
      </c>
      <c r="C775" s="12" t="s">
        <v>202</v>
      </c>
      <c r="D775" s="68"/>
      <c r="E775" s="197"/>
      <c r="F775" s="68"/>
      <c r="G775" s="68"/>
      <c r="H775" s="68"/>
      <c r="I775" s="197"/>
      <c r="J775" s="197"/>
      <c r="K775" s="197"/>
      <c r="L775" s="282"/>
      <c r="M775" s="282"/>
      <c r="N775" s="282"/>
      <c r="O775" s="282"/>
      <c r="P775" s="282"/>
      <c r="Q775" s="117">
        <f t="shared" si="1115"/>
        <v>0</v>
      </c>
      <c r="R775" s="117">
        <f t="shared" si="1116"/>
        <v>0</v>
      </c>
      <c r="S775" s="282"/>
      <c r="T775" s="282"/>
      <c r="U775" s="282"/>
    </row>
    <row r="776" spans="1:21" ht="21" hidden="1" customHeight="1">
      <c r="A776" s="34"/>
      <c r="B776" s="33" t="s">
        <v>203</v>
      </c>
      <c r="C776" s="12">
        <v>71.03</v>
      </c>
      <c r="D776" s="68"/>
      <c r="E776" s="197"/>
      <c r="F776" s="68"/>
      <c r="G776" s="68"/>
      <c r="H776" s="68"/>
      <c r="I776" s="197"/>
      <c r="J776" s="197"/>
      <c r="K776" s="197"/>
      <c r="L776" s="282"/>
      <c r="M776" s="282"/>
      <c r="N776" s="282"/>
      <c r="O776" s="282"/>
      <c r="P776" s="282"/>
      <c r="Q776" s="117">
        <f t="shared" si="1115"/>
        <v>0</v>
      </c>
      <c r="R776" s="117">
        <f t="shared" si="1116"/>
        <v>0</v>
      </c>
      <c r="S776" s="282"/>
      <c r="T776" s="282"/>
      <c r="U776" s="282"/>
    </row>
    <row r="777" spans="1:21" ht="30" customHeight="1">
      <c r="A777" s="34"/>
      <c r="B777" s="49" t="s">
        <v>506</v>
      </c>
      <c r="C777" s="92" t="s">
        <v>332</v>
      </c>
      <c r="D777" s="77">
        <f t="shared" ref="D777:U778" si="1236">D778</f>
        <v>402.67</v>
      </c>
      <c r="E777" s="77">
        <f t="shared" si="1236"/>
        <v>945.70999999999992</v>
      </c>
      <c r="F777" s="77">
        <f t="shared" si="1236"/>
        <v>1608</v>
      </c>
      <c r="G777" s="77">
        <f t="shared" si="1236"/>
        <v>1608</v>
      </c>
      <c r="H777" s="77">
        <f t="shared" si="1236"/>
        <v>1608</v>
      </c>
      <c r="I777" s="77">
        <f t="shared" si="1236"/>
        <v>2193</v>
      </c>
      <c r="J777" s="77">
        <f t="shared" si="1236"/>
        <v>2193</v>
      </c>
      <c r="K777" s="77">
        <f t="shared" si="1236"/>
        <v>2193</v>
      </c>
      <c r="L777" s="298">
        <f t="shared" si="1236"/>
        <v>2193</v>
      </c>
      <c r="M777" s="298">
        <f t="shared" si="1236"/>
        <v>549</v>
      </c>
      <c r="N777" s="298">
        <f t="shared" si="1236"/>
        <v>549</v>
      </c>
      <c r="O777" s="298">
        <f t="shared" si="1236"/>
        <v>549</v>
      </c>
      <c r="P777" s="298">
        <f t="shared" si="1236"/>
        <v>546</v>
      </c>
      <c r="Q777" s="117">
        <f t="shared" si="1115"/>
        <v>2193</v>
      </c>
      <c r="R777" s="117">
        <f t="shared" si="1116"/>
        <v>0</v>
      </c>
      <c r="S777" s="298">
        <f t="shared" si="1236"/>
        <v>2991</v>
      </c>
      <c r="T777" s="298">
        <f t="shared" si="1236"/>
        <v>3555</v>
      </c>
      <c r="U777" s="298">
        <f t="shared" si="1236"/>
        <v>0</v>
      </c>
    </row>
    <row r="778" spans="1:21" ht="21" customHeight="1">
      <c r="A778" s="34"/>
      <c r="B778" s="33" t="s">
        <v>165</v>
      </c>
      <c r="C778" s="128"/>
      <c r="D778" s="66">
        <f t="shared" si="1236"/>
        <v>402.67</v>
      </c>
      <c r="E778" s="66">
        <f t="shared" si="1236"/>
        <v>945.70999999999992</v>
      </c>
      <c r="F778" s="66">
        <f t="shared" si="1236"/>
        <v>1608</v>
      </c>
      <c r="G778" s="66">
        <f t="shared" si="1236"/>
        <v>1608</v>
      </c>
      <c r="H778" s="66">
        <f t="shared" si="1236"/>
        <v>1608</v>
      </c>
      <c r="I778" s="66">
        <f t="shared" si="1236"/>
        <v>2193</v>
      </c>
      <c r="J778" s="66">
        <f t="shared" si="1236"/>
        <v>2193</v>
      </c>
      <c r="K778" s="66">
        <f t="shared" si="1236"/>
        <v>2193</v>
      </c>
      <c r="L778" s="288">
        <f t="shared" si="1236"/>
        <v>2193</v>
      </c>
      <c r="M778" s="288">
        <f t="shared" si="1236"/>
        <v>549</v>
      </c>
      <c r="N778" s="288">
        <f t="shared" si="1236"/>
        <v>549</v>
      </c>
      <c r="O778" s="288">
        <f t="shared" si="1236"/>
        <v>549</v>
      </c>
      <c r="P778" s="288">
        <f t="shared" si="1236"/>
        <v>546</v>
      </c>
      <c r="Q778" s="117">
        <f t="shared" si="1115"/>
        <v>2193</v>
      </c>
      <c r="R778" s="117">
        <f t="shared" si="1116"/>
        <v>0</v>
      </c>
      <c r="S778" s="288">
        <f t="shared" si="1236"/>
        <v>2991</v>
      </c>
      <c r="T778" s="288">
        <f t="shared" si="1236"/>
        <v>3555</v>
      </c>
      <c r="U778" s="288">
        <f t="shared" si="1236"/>
        <v>0</v>
      </c>
    </row>
    <row r="779" spans="1:21" ht="18.75" customHeight="1">
      <c r="A779" s="34"/>
      <c r="B779" s="32" t="s">
        <v>445</v>
      </c>
      <c r="C779" s="12">
        <v>58</v>
      </c>
      <c r="D779" s="66">
        <f t="shared" ref="D779:U779" si="1237">D780+D781+D782</f>
        <v>402.67</v>
      </c>
      <c r="E779" s="66">
        <f t="shared" ref="E779:F779" si="1238">E780+E781+E782</f>
        <v>945.70999999999992</v>
      </c>
      <c r="F779" s="66">
        <f t="shared" si="1238"/>
        <v>1608</v>
      </c>
      <c r="G779" s="66">
        <f t="shared" si="1237"/>
        <v>1608</v>
      </c>
      <c r="H779" s="66">
        <f t="shared" si="1237"/>
        <v>1608</v>
      </c>
      <c r="I779" s="66">
        <f t="shared" si="1237"/>
        <v>2193</v>
      </c>
      <c r="J779" s="66">
        <f t="shared" si="1237"/>
        <v>2193</v>
      </c>
      <c r="K779" s="66">
        <f t="shared" ref="K779:L779" si="1239">K780+K781+K782</f>
        <v>2193</v>
      </c>
      <c r="L779" s="288">
        <f t="shared" si="1239"/>
        <v>2193</v>
      </c>
      <c r="M779" s="288">
        <f t="shared" ref="M779:P779" si="1240">M780+M781+M782</f>
        <v>549</v>
      </c>
      <c r="N779" s="288">
        <f t="shared" si="1240"/>
        <v>549</v>
      </c>
      <c r="O779" s="288">
        <f t="shared" si="1240"/>
        <v>549</v>
      </c>
      <c r="P779" s="288">
        <f t="shared" si="1240"/>
        <v>546</v>
      </c>
      <c r="Q779" s="117">
        <f t="shared" si="1115"/>
        <v>2193</v>
      </c>
      <c r="R779" s="117">
        <f t="shared" si="1116"/>
        <v>0</v>
      </c>
      <c r="S779" s="288">
        <f t="shared" si="1237"/>
        <v>2991</v>
      </c>
      <c r="T779" s="288">
        <f t="shared" si="1237"/>
        <v>3555</v>
      </c>
      <c r="U779" s="288">
        <f t="shared" si="1237"/>
        <v>0</v>
      </c>
    </row>
    <row r="780" spans="1:21" ht="15" customHeight="1">
      <c r="A780" s="34"/>
      <c r="B780" s="21" t="s">
        <v>477</v>
      </c>
      <c r="C780" s="12" t="s">
        <v>489</v>
      </c>
      <c r="D780" s="68">
        <v>50</v>
      </c>
      <c r="E780" s="197">
        <v>147.15</v>
      </c>
      <c r="F780" s="68">
        <v>218</v>
      </c>
      <c r="G780" s="68">
        <v>218</v>
      </c>
      <c r="H780" s="68">
        <v>218</v>
      </c>
      <c r="I780" s="197">
        <v>341</v>
      </c>
      <c r="J780" s="197">
        <v>341</v>
      </c>
      <c r="K780" s="197">
        <v>341</v>
      </c>
      <c r="L780" s="282">
        <v>341</v>
      </c>
      <c r="M780" s="282">
        <v>86</v>
      </c>
      <c r="N780" s="282">
        <v>86</v>
      </c>
      <c r="O780" s="282">
        <v>86</v>
      </c>
      <c r="P780" s="282">
        <v>83</v>
      </c>
      <c r="Q780" s="117">
        <f t="shared" si="1115"/>
        <v>341</v>
      </c>
      <c r="R780" s="117">
        <f t="shared" si="1116"/>
        <v>0</v>
      </c>
      <c r="S780" s="282">
        <v>466</v>
      </c>
      <c r="T780" s="282">
        <v>553</v>
      </c>
      <c r="U780" s="282"/>
    </row>
    <row r="781" spans="1:21" ht="17.25" customHeight="1">
      <c r="A781" s="34"/>
      <c r="B781" s="21" t="s">
        <v>479</v>
      </c>
      <c r="C781" s="12" t="s">
        <v>490</v>
      </c>
      <c r="D781" s="68">
        <v>342.22</v>
      </c>
      <c r="E781" s="197">
        <v>798.56</v>
      </c>
      <c r="F781" s="68">
        <v>1357</v>
      </c>
      <c r="G781" s="68">
        <v>1357</v>
      </c>
      <c r="H781" s="68">
        <v>1357</v>
      </c>
      <c r="I781" s="197">
        <v>1852</v>
      </c>
      <c r="J781" s="197">
        <v>1852</v>
      </c>
      <c r="K781" s="197">
        <v>1852</v>
      </c>
      <c r="L781" s="282">
        <v>1852</v>
      </c>
      <c r="M781" s="282">
        <v>463</v>
      </c>
      <c r="N781" s="282">
        <v>463</v>
      </c>
      <c r="O781" s="282">
        <v>463</v>
      </c>
      <c r="P781" s="282">
        <v>463</v>
      </c>
      <c r="Q781" s="117">
        <f t="shared" ref="Q781:Q844" si="1241">M781+N781+O781+P781</f>
        <v>1852</v>
      </c>
      <c r="R781" s="117">
        <f t="shared" ref="R781:R844" si="1242">L781-Q781</f>
        <v>0</v>
      </c>
      <c r="S781" s="282">
        <v>2525</v>
      </c>
      <c r="T781" s="282">
        <v>3002</v>
      </c>
      <c r="U781" s="282"/>
    </row>
    <row r="782" spans="1:21" ht="17.25" customHeight="1">
      <c r="A782" s="34"/>
      <c r="B782" s="21" t="s">
        <v>480</v>
      </c>
      <c r="C782" s="12" t="s">
        <v>491</v>
      </c>
      <c r="D782" s="68">
        <v>10.45</v>
      </c>
      <c r="E782" s="197"/>
      <c r="F782" s="68">
        <v>33</v>
      </c>
      <c r="G782" s="68">
        <v>33</v>
      </c>
      <c r="H782" s="68">
        <v>33</v>
      </c>
      <c r="I782" s="197">
        <v>0</v>
      </c>
      <c r="J782" s="197"/>
      <c r="K782" s="197"/>
      <c r="L782" s="282"/>
      <c r="M782" s="282"/>
      <c r="N782" s="282"/>
      <c r="O782" s="282"/>
      <c r="P782" s="282"/>
      <c r="Q782" s="117">
        <f t="shared" si="1241"/>
        <v>0</v>
      </c>
      <c r="R782" s="117">
        <f t="shared" si="1242"/>
        <v>0</v>
      </c>
      <c r="S782" s="282"/>
      <c r="T782" s="282"/>
      <c r="U782" s="282"/>
    </row>
    <row r="783" spans="1:21" ht="30" hidden="1" customHeight="1">
      <c r="A783" s="34"/>
      <c r="B783" s="49" t="s">
        <v>510</v>
      </c>
      <c r="C783" s="93" t="s">
        <v>332</v>
      </c>
      <c r="D783" s="78">
        <f t="shared" ref="D783:U784" si="1243">D784</f>
        <v>108.32</v>
      </c>
      <c r="E783" s="78">
        <f t="shared" si="1243"/>
        <v>48.75</v>
      </c>
      <c r="F783" s="78">
        <f t="shared" si="1243"/>
        <v>55</v>
      </c>
      <c r="G783" s="78">
        <f t="shared" si="1243"/>
        <v>55</v>
      </c>
      <c r="H783" s="78">
        <f t="shared" si="1243"/>
        <v>55</v>
      </c>
      <c r="I783" s="78">
        <f t="shared" si="1243"/>
        <v>0</v>
      </c>
      <c r="J783" s="78">
        <f t="shared" si="1243"/>
        <v>0</v>
      </c>
      <c r="K783" s="78">
        <f t="shared" si="1243"/>
        <v>0</v>
      </c>
      <c r="L783" s="297">
        <f t="shared" si="1243"/>
        <v>0</v>
      </c>
      <c r="M783" s="297">
        <f t="shared" si="1243"/>
        <v>0</v>
      </c>
      <c r="N783" s="297">
        <f t="shared" si="1243"/>
        <v>0</v>
      </c>
      <c r="O783" s="297">
        <f t="shared" si="1243"/>
        <v>0</v>
      </c>
      <c r="P783" s="297">
        <f t="shared" si="1243"/>
        <v>0</v>
      </c>
      <c r="Q783" s="117">
        <f t="shared" si="1241"/>
        <v>0</v>
      </c>
      <c r="R783" s="117">
        <f t="shared" si="1242"/>
        <v>0</v>
      </c>
      <c r="S783" s="297">
        <f t="shared" si="1243"/>
        <v>0</v>
      </c>
      <c r="T783" s="297">
        <f t="shared" si="1243"/>
        <v>0</v>
      </c>
      <c r="U783" s="297">
        <f t="shared" si="1243"/>
        <v>0</v>
      </c>
    </row>
    <row r="784" spans="1:21" ht="21" hidden="1" customHeight="1">
      <c r="A784" s="34"/>
      <c r="B784" s="33" t="s">
        <v>165</v>
      </c>
      <c r="C784" s="128"/>
      <c r="D784" s="66">
        <f t="shared" si="1243"/>
        <v>108.32</v>
      </c>
      <c r="E784" s="66">
        <f t="shared" si="1243"/>
        <v>48.75</v>
      </c>
      <c r="F784" s="66">
        <f t="shared" si="1243"/>
        <v>55</v>
      </c>
      <c r="G784" s="66">
        <f t="shared" si="1243"/>
        <v>55</v>
      </c>
      <c r="H784" s="66">
        <f t="shared" si="1243"/>
        <v>55</v>
      </c>
      <c r="I784" s="66">
        <f t="shared" si="1243"/>
        <v>0</v>
      </c>
      <c r="J784" s="66">
        <f t="shared" si="1243"/>
        <v>0</v>
      </c>
      <c r="K784" s="66">
        <f t="shared" si="1243"/>
        <v>0</v>
      </c>
      <c r="L784" s="288">
        <f t="shared" si="1243"/>
        <v>0</v>
      </c>
      <c r="M784" s="288">
        <f t="shared" si="1243"/>
        <v>0</v>
      </c>
      <c r="N784" s="288">
        <f t="shared" si="1243"/>
        <v>0</v>
      </c>
      <c r="O784" s="288">
        <f t="shared" si="1243"/>
        <v>0</v>
      </c>
      <c r="P784" s="288">
        <f t="shared" si="1243"/>
        <v>0</v>
      </c>
      <c r="Q784" s="117">
        <f t="shared" si="1241"/>
        <v>0</v>
      </c>
      <c r="R784" s="117">
        <f t="shared" si="1242"/>
        <v>0</v>
      </c>
      <c r="S784" s="288">
        <f t="shared" si="1243"/>
        <v>0</v>
      </c>
      <c r="T784" s="288">
        <f t="shared" si="1243"/>
        <v>0</v>
      </c>
      <c r="U784" s="288">
        <f t="shared" si="1243"/>
        <v>0</v>
      </c>
    </row>
    <row r="785" spans="1:21" ht="27.75" hidden="1" customHeight="1">
      <c r="A785" s="34"/>
      <c r="B785" s="32" t="s">
        <v>445</v>
      </c>
      <c r="C785" s="12">
        <v>58</v>
      </c>
      <c r="D785" s="66">
        <f t="shared" ref="D785:U785" si="1244">D786+D787+D788</f>
        <v>108.32</v>
      </c>
      <c r="E785" s="66">
        <f t="shared" ref="E785:F785" si="1245">E786+E787+E788</f>
        <v>48.75</v>
      </c>
      <c r="F785" s="66">
        <f t="shared" si="1245"/>
        <v>55</v>
      </c>
      <c r="G785" s="66">
        <f t="shared" si="1244"/>
        <v>55</v>
      </c>
      <c r="H785" s="66">
        <f t="shared" si="1244"/>
        <v>55</v>
      </c>
      <c r="I785" s="66">
        <f t="shared" si="1244"/>
        <v>0</v>
      </c>
      <c r="J785" s="66">
        <f t="shared" si="1244"/>
        <v>0</v>
      </c>
      <c r="K785" s="66">
        <f t="shared" ref="K785:L785" si="1246">K786+K787+K788</f>
        <v>0</v>
      </c>
      <c r="L785" s="288">
        <f t="shared" si="1246"/>
        <v>0</v>
      </c>
      <c r="M785" s="288">
        <f t="shared" ref="M785:P785" si="1247">M786+M787+M788</f>
        <v>0</v>
      </c>
      <c r="N785" s="288">
        <f t="shared" si="1247"/>
        <v>0</v>
      </c>
      <c r="O785" s="288">
        <f t="shared" si="1247"/>
        <v>0</v>
      </c>
      <c r="P785" s="288">
        <f t="shared" si="1247"/>
        <v>0</v>
      </c>
      <c r="Q785" s="117">
        <f t="shared" si="1241"/>
        <v>0</v>
      </c>
      <c r="R785" s="117">
        <f t="shared" si="1242"/>
        <v>0</v>
      </c>
      <c r="S785" s="288">
        <f t="shared" si="1244"/>
        <v>0</v>
      </c>
      <c r="T785" s="288">
        <f t="shared" si="1244"/>
        <v>0</v>
      </c>
      <c r="U785" s="288">
        <f t="shared" si="1244"/>
        <v>0</v>
      </c>
    </row>
    <row r="786" spans="1:21" ht="17.25" hidden="1" customHeight="1">
      <c r="A786" s="34"/>
      <c r="B786" s="21" t="s">
        <v>477</v>
      </c>
      <c r="C786" s="12" t="s">
        <v>507</v>
      </c>
      <c r="D786" s="68"/>
      <c r="E786" s="197"/>
      <c r="F786" s="68">
        <v>0</v>
      </c>
      <c r="G786" s="68"/>
      <c r="H786" s="68">
        <v>0</v>
      </c>
      <c r="I786" s="197"/>
      <c r="J786" s="197"/>
      <c r="K786" s="197"/>
      <c r="L786" s="282"/>
      <c r="M786" s="282"/>
      <c r="N786" s="282"/>
      <c r="O786" s="282"/>
      <c r="P786" s="282"/>
      <c r="Q786" s="117">
        <f t="shared" si="1241"/>
        <v>0</v>
      </c>
      <c r="R786" s="117">
        <f t="shared" si="1242"/>
        <v>0</v>
      </c>
      <c r="S786" s="282"/>
      <c r="T786" s="282"/>
      <c r="U786" s="282"/>
    </row>
    <row r="787" spans="1:21" ht="17.25" hidden="1" customHeight="1">
      <c r="A787" s="34"/>
      <c r="B787" s="21" t="s">
        <v>479</v>
      </c>
      <c r="C787" s="12" t="s">
        <v>508</v>
      </c>
      <c r="D787" s="68">
        <v>80.14</v>
      </c>
      <c r="E787" s="197">
        <v>39</v>
      </c>
      <c r="F787" s="68">
        <v>44</v>
      </c>
      <c r="G787" s="68">
        <v>44</v>
      </c>
      <c r="H787" s="68">
        <v>44</v>
      </c>
      <c r="I787" s="197"/>
      <c r="J787" s="197"/>
      <c r="K787" s="197"/>
      <c r="L787" s="282"/>
      <c r="M787" s="282"/>
      <c r="N787" s="282"/>
      <c r="O787" s="282"/>
      <c r="P787" s="282"/>
      <c r="Q787" s="117">
        <f t="shared" si="1241"/>
        <v>0</v>
      </c>
      <c r="R787" s="117">
        <f t="shared" si="1242"/>
        <v>0</v>
      </c>
      <c r="S787" s="282"/>
      <c r="T787" s="282"/>
      <c r="U787" s="282"/>
    </row>
    <row r="788" spans="1:21" ht="17.25" hidden="1" customHeight="1">
      <c r="A788" s="34"/>
      <c r="B788" s="21" t="s">
        <v>480</v>
      </c>
      <c r="C788" s="12" t="s">
        <v>509</v>
      </c>
      <c r="D788" s="68">
        <v>28.18</v>
      </c>
      <c r="E788" s="197">
        <v>9.75</v>
      </c>
      <c r="F788" s="68">
        <v>11</v>
      </c>
      <c r="G788" s="68">
        <v>11</v>
      </c>
      <c r="H788" s="68">
        <v>11</v>
      </c>
      <c r="I788" s="197"/>
      <c r="J788" s="197"/>
      <c r="K788" s="197"/>
      <c r="L788" s="282"/>
      <c r="M788" s="282"/>
      <c r="N788" s="282"/>
      <c r="O788" s="282"/>
      <c r="P788" s="282"/>
      <c r="Q788" s="117">
        <f t="shared" si="1241"/>
        <v>0</v>
      </c>
      <c r="R788" s="117">
        <f t="shared" si="1242"/>
        <v>0</v>
      </c>
      <c r="S788" s="282"/>
      <c r="T788" s="282"/>
      <c r="U788" s="282"/>
    </row>
    <row r="789" spans="1:21" ht="38.25" customHeight="1">
      <c r="A789" s="34"/>
      <c r="B789" s="49" t="s">
        <v>524</v>
      </c>
      <c r="C789" s="92"/>
      <c r="D789" s="77">
        <f t="shared" ref="D789:U789" si="1248">D790</f>
        <v>100.8</v>
      </c>
      <c r="E789" s="77">
        <f t="shared" si="1248"/>
        <v>1685.75</v>
      </c>
      <c r="F789" s="77">
        <f t="shared" si="1248"/>
        <v>2143</v>
      </c>
      <c r="G789" s="77">
        <f t="shared" si="1248"/>
        <v>2143</v>
      </c>
      <c r="H789" s="77">
        <f t="shared" si="1248"/>
        <v>2143</v>
      </c>
      <c r="I789" s="77">
        <f t="shared" si="1248"/>
        <v>3002.6000000000004</v>
      </c>
      <c r="J789" s="77">
        <f t="shared" si="1248"/>
        <v>2302</v>
      </c>
      <c r="K789" s="77">
        <f t="shared" si="1248"/>
        <v>3002.6000000000004</v>
      </c>
      <c r="L789" s="298">
        <f t="shared" si="1248"/>
        <v>3003</v>
      </c>
      <c r="M789" s="298">
        <f t="shared" si="1248"/>
        <v>1702</v>
      </c>
      <c r="N789" s="298">
        <f t="shared" si="1248"/>
        <v>434</v>
      </c>
      <c r="O789" s="298">
        <f t="shared" si="1248"/>
        <v>434</v>
      </c>
      <c r="P789" s="298">
        <f t="shared" si="1248"/>
        <v>433</v>
      </c>
      <c r="Q789" s="117">
        <f t="shared" si="1241"/>
        <v>3003</v>
      </c>
      <c r="R789" s="117">
        <f t="shared" si="1242"/>
        <v>0</v>
      </c>
      <c r="S789" s="298">
        <f t="shared" si="1248"/>
        <v>0</v>
      </c>
      <c r="T789" s="298">
        <f t="shared" si="1248"/>
        <v>0</v>
      </c>
      <c r="U789" s="298">
        <f t="shared" si="1248"/>
        <v>0</v>
      </c>
    </row>
    <row r="790" spans="1:21" ht="27.75" customHeight="1">
      <c r="A790" s="34"/>
      <c r="B790" s="32" t="s">
        <v>445</v>
      </c>
      <c r="C790" s="12">
        <v>58</v>
      </c>
      <c r="D790" s="66">
        <f t="shared" ref="D790:U790" si="1249">D791+D792+D793</f>
        <v>100.8</v>
      </c>
      <c r="E790" s="66">
        <f t="shared" ref="E790:F790" si="1250">E791+E792+E793</f>
        <v>1685.75</v>
      </c>
      <c r="F790" s="66">
        <f t="shared" si="1250"/>
        <v>2143</v>
      </c>
      <c r="G790" s="66">
        <f t="shared" si="1249"/>
        <v>2143</v>
      </c>
      <c r="H790" s="66">
        <f t="shared" si="1249"/>
        <v>2143</v>
      </c>
      <c r="I790" s="66">
        <f t="shared" si="1249"/>
        <v>3002.6000000000004</v>
      </c>
      <c r="J790" s="66">
        <f t="shared" si="1249"/>
        <v>2302</v>
      </c>
      <c r="K790" s="66">
        <f t="shared" ref="K790:L790" si="1251">K791+K792+K793</f>
        <v>3002.6000000000004</v>
      </c>
      <c r="L790" s="288">
        <f t="shared" si="1251"/>
        <v>3003</v>
      </c>
      <c r="M790" s="288">
        <f t="shared" ref="M790:P790" si="1252">M791+M792+M793</f>
        <v>1702</v>
      </c>
      <c r="N790" s="288">
        <f t="shared" si="1252"/>
        <v>434</v>
      </c>
      <c r="O790" s="288">
        <f t="shared" si="1252"/>
        <v>434</v>
      </c>
      <c r="P790" s="288">
        <f t="shared" si="1252"/>
        <v>433</v>
      </c>
      <c r="Q790" s="117">
        <f t="shared" si="1241"/>
        <v>3003</v>
      </c>
      <c r="R790" s="117">
        <f t="shared" si="1242"/>
        <v>0</v>
      </c>
      <c r="S790" s="288">
        <f t="shared" si="1249"/>
        <v>0</v>
      </c>
      <c r="T790" s="288">
        <f t="shared" si="1249"/>
        <v>0</v>
      </c>
      <c r="U790" s="288">
        <f t="shared" si="1249"/>
        <v>0</v>
      </c>
    </row>
    <row r="791" spans="1:21" ht="17.25" customHeight="1">
      <c r="A791" s="34"/>
      <c r="B791" s="21" t="s">
        <v>477</v>
      </c>
      <c r="C791" s="12" t="s">
        <v>478</v>
      </c>
      <c r="D791" s="68">
        <v>12.42</v>
      </c>
      <c r="E791" s="197">
        <v>216.86</v>
      </c>
      <c r="F791" s="68">
        <v>245</v>
      </c>
      <c r="G791" s="68">
        <v>245</v>
      </c>
      <c r="H791" s="68">
        <v>245</v>
      </c>
      <c r="I791" s="197">
        <v>230</v>
      </c>
      <c r="J791" s="197">
        <v>230</v>
      </c>
      <c r="K791" s="197">
        <v>230</v>
      </c>
      <c r="L791" s="282">
        <v>230</v>
      </c>
      <c r="M791" s="282">
        <v>58</v>
      </c>
      <c r="N791" s="282">
        <v>58</v>
      </c>
      <c r="O791" s="282">
        <v>58</v>
      </c>
      <c r="P791" s="282">
        <v>56</v>
      </c>
      <c r="Q791" s="117">
        <f t="shared" si="1241"/>
        <v>230</v>
      </c>
      <c r="R791" s="117">
        <f t="shared" si="1242"/>
        <v>0</v>
      </c>
      <c r="S791" s="282"/>
      <c r="T791" s="282"/>
      <c r="U791" s="282"/>
    </row>
    <row r="792" spans="1:21" ht="15.75" customHeight="1">
      <c r="A792" s="34"/>
      <c r="B792" s="21" t="s">
        <v>479</v>
      </c>
      <c r="C792" s="12" t="s">
        <v>447</v>
      </c>
      <c r="D792" s="68">
        <v>81.209999999999994</v>
      </c>
      <c r="E792" s="197">
        <v>1417.95</v>
      </c>
      <c r="F792" s="68">
        <v>1598</v>
      </c>
      <c r="G792" s="68">
        <v>1598</v>
      </c>
      <c r="H792" s="68">
        <v>1598</v>
      </c>
      <c r="I792" s="197">
        <v>1504.2</v>
      </c>
      <c r="J792" s="197">
        <v>1504</v>
      </c>
      <c r="K792" s="197">
        <v>1504.2</v>
      </c>
      <c r="L792" s="282">
        <v>1505</v>
      </c>
      <c r="M792" s="282">
        <v>376</v>
      </c>
      <c r="N792" s="282">
        <v>376</v>
      </c>
      <c r="O792" s="282">
        <v>376</v>
      </c>
      <c r="P792" s="282">
        <v>377</v>
      </c>
      <c r="Q792" s="117">
        <f t="shared" si="1241"/>
        <v>1505</v>
      </c>
      <c r="R792" s="117">
        <f t="shared" si="1242"/>
        <v>0</v>
      </c>
      <c r="S792" s="282"/>
      <c r="T792" s="282"/>
      <c r="U792" s="282"/>
    </row>
    <row r="793" spans="1:21" ht="15" customHeight="1">
      <c r="A793" s="34"/>
      <c r="B793" s="21" t="s">
        <v>480</v>
      </c>
      <c r="C793" s="12" t="s">
        <v>448</v>
      </c>
      <c r="D793" s="68">
        <v>7.17</v>
      </c>
      <c r="E793" s="197">
        <v>50.94</v>
      </c>
      <c r="F793" s="68">
        <v>300</v>
      </c>
      <c r="G793" s="68">
        <v>300</v>
      </c>
      <c r="H793" s="68">
        <v>300</v>
      </c>
      <c r="I793" s="197">
        <v>1268.4000000000001</v>
      </c>
      <c r="J793" s="197">
        <f>1268-700</f>
        <v>568</v>
      </c>
      <c r="K793" s="197">
        <v>1268.4000000000001</v>
      </c>
      <c r="L793" s="282">
        <v>1268</v>
      </c>
      <c r="M793" s="282">
        <v>1268</v>
      </c>
      <c r="N793" s="282"/>
      <c r="O793" s="282"/>
      <c r="P793" s="282"/>
      <c r="Q793" s="117">
        <f t="shared" si="1241"/>
        <v>1268</v>
      </c>
      <c r="R793" s="117">
        <f t="shared" si="1242"/>
        <v>0</v>
      </c>
      <c r="S793" s="282"/>
      <c r="T793" s="282"/>
      <c r="U793" s="282"/>
    </row>
    <row r="794" spans="1:21" ht="51" customHeight="1">
      <c r="A794" s="34"/>
      <c r="B794" s="49" t="s">
        <v>525</v>
      </c>
      <c r="C794" s="92"/>
      <c r="D794" s="78">
        <f t="shared" ref="D794:U794" si="1253">D795</f>
        <v>154.62</v>
      </c>
      <c r="E794" s="78">
        <f t="shared" si="1253"/>
        <v>1865.06</v>
      </c>
      <c r="F794" s="78">
        <f t="shared" si="1253"/>
        <v>2187</v>
      </c>
      <c r="G794" s="78">
        <f t="shared" si="1253"/>
        <v>2187</v>
      </c>
      <c r="H794" s="78">
        <f t="shared" si="1253"/>
        <v>2187</v>
      </c>
      <c r="I794" s="78">
        <f t="shared" si="1253"/>
        <v>3321.5299999999997</v>
      </c>
      <c r="J794" s="78">
        <f t="shared" si="1253"/>
        <v>2623</v>
      </c>
      <c r="K794" s="78">
        <f t="shared" si="1253"/>
        <v>3321.5299999999997</v>
      </c>
      <c r="L794" s="297">
        <f t="shared" si="1253"/>
        <v>2233</v>
      </c>
      <c r="M794" s="297">
        <f t="shared" si="1253"/>
        <v>598</v>
      </c>
      <c r="N794" s="297">
        <f t="shared" si="1253"/>
        <v>546</v>
      </c>
      <c r="O794" s="297">
        <f t="shared" si="1253"/>
        <v>546</v>
      </c>
      <c r="P794" s="297">
        <f t="shared" si="1253"/>
        <v>543</v>
      </c>
      <c r="Q794" s="117">
        <f t="shared" si="1241"/>
        <v>2233</v>
      </c>
      <c r="R794" s="117">
        <f t="shared" si="1242"/>
        <v>0</v>
      </c>
      <c r="S794" s="297">
        <f t="shared" si="1253"/>
        <v>181</v>
      </c>
      <c r="T794" s="297">
        <f t="shared" si="1253"/>
        <v>0</v>
      </c>
      <c r="U794" s="297">
        <f t="shared" si="1253"/>
        <v>0</v>
      </c>
    </row>
    <row r="795" spans="1:21" ht="27" customHeight="1">
      <c r="A795" s="34"/>
      <c r="B795" s="32" t="s">
        <v>445</v>
      </c>
      <c r="C795" s="12">
        <v>58</v>
      </c>
      <c r="D795" s="66">
        <f t="shared" ref="D795:U795" si="1254">D796+D798+D797</f>
        <v>154.62</v>
      </c>
      <c r="E795" s="66">
        <f t="shared" ref="E795:F795" si="1255">E796+E798+E797</f>
        <v>1865.06</v>
      </c>
      <c r="F795" s="66">
        <f t="shared" si="1255"/>
        <v>2187</v>
      </c>
      <c r="G795" s="66">
        <f t="shared" si="1254"/>
        <v>2187</v>
      </c>
      <c r="H795" s="66">
        <f t="shared" si="1254"/>
        <v>2187</v>
      </c>
      <c r="I795" s="66">
        <f t="shared" si="1254"/>
        <v>3321.5299999999997</v>
      </c>
      <c r="J795" s="66">
        <f t="shared" si="1254"/>
        <v>2623</v>
      </c>
      <c r="K795" s="66">
        <f t="shared" ref="K795:L795" si="1256">K796+K798+K797</f>
        <v>3321.5299999999997</v>
      </c>
      <c r="L795" s="288">
        <f t="shared" si="1256"/>
        <v>2233</v>
      </c>
      <c r="M795" s="288">
        <f t="shared" ref="M795:P795" si="1257">M796+M798+M797</f>
        <v>598</v>
      </c>
      <c r="N795" s="288">
        <f t="shared" si="1257"/>
        <v>546</v>
      </c>
      <c r="O795" s="288">
        <f t="shared" si="1257"/>
        <v>546</v>
      </c>
      <c r="P795" s="288">
        <f t="shared" si="1257"/>
        <v>543</v>
      </c>
      <c r="Q795" s="117">
        <f t="shared" si="1241"/>
        <v>2233</v>
      </c>
      <c r="R795" s="117">
        <f t="shared" si="1242"/>
        <v>0</v>
      </c>
      <c r="S795" s="288">
        <f t="shared" si="1254"/>
        <v>181</v>
      </c>
      <c r="T795" s="288">
        <f t="shared" si="1254"/>
        <v>0</v>
      </c>
      <c r="U795" s="288">
        <f t="shared" si="1254"/>
        <v>0</v>
      </c>
    </row>
    <row r="796" spans="1:21" ht="18" customHeight="1">
      <c r="A796" s="34"/>
      <c r="B796" s="21" t="s">
        <v>477</v>
      </c>
      <c r="C796" s="12" t="s">
        <v>478</v>
      </c>
      <c r="D796" s="68">
        <v>1.18</v>
      </c>
      <c r="E796" s="197">
        <v>231.45</v>
      </c>
      <c r="F796" s="68">
        <v>251</v>
      </c>
      <c r="G796" s="68">
        <v>251</v>
      </c>
      <c r="H796" s="68">
        <v>251</v>
      </c>
      <c r="I796" s="197">
        <v>289.14999999999998</v>
      </c>
      <c r="J796" s="197">
        <v>290</v>
      </c>
      <c r="K796" s="197">
        <v>289.14999999999998</v>
      </c>
      <c r="L796" s="282">
        <v>290</v>
      </c>
      <c r="M796" s="282">
        <v>73</v>
      </c>
      <c r="N796" s="282">
        <v>73</v>
      </c>
      <c r="O796" s="282">
        <v>73</v>
      </c>
      <c r="P796" s="282">
        <v>71</v>
      </c>
      <c r="Q796" s="117">
        <f t="shared" si="1241"/>
        <v>290</v>
      </c>
      <c r="R796" s="117">
        <f t="shared" si="1242"/>
        <v>0</v>
      </c>
      <c r="S796" s="282">
        <v>24</v>
      </c>
      <c r="T796" s="282"/>
      <c r="U796" s="282"/>
    </row>
    <row r="797" spans="1:21" ht="16.5" customHeight="1">
      <c r="A797" s="34"/>
      <c r="B797" s="21" t="s">
        <v>479</v>
      </c>
      <c r="C797" s="12" t="s">
        <v>447</v>
      </c>
      <c r="D797" s="68">
        <v>7.72</v>
      </c>
      <c r="E797" s="197">
        <v>1513.29</v>
      </c>
      <c r="F797" s="68">
        <v>1636</v>
      </c>
      <c r="G797" s="68">
        <v>1636</v>
      </c>
      <c r="H797" s="68">
        <v>1636</v>
      </c>
      <c r="I797" s="197">
        <v>1890.6</v>
      </c>
      <c r="J797" s="197">
        <v>1891</v>
      </c>
      <c r="K797" s="197">
        <v>1890.6</v>
      </c>
      <c r="L797" s="282">
        <v>1891</v>
      </c>
      <c r="M797" s="282">
        <v>473</v>
      </c>
      <c r="N797" s="282">
        <v>473</v>
      </c>
      <c r="O797" s="282">
        <v>473</v>
      </c>
      <c r="P797" s="282">
        <v>472</v>
      </c>
      <c r="Q797" s="117">
        <f t="shared" si="1241"/>
        <v>1891</v>
      </c>
      <c r="R797" s="117">
        <f t="shared" si="1242"/>
        <v>0</v>
      </c>
      <c r="S797" s="282">
        <v>157</v>
      </c>
      <c r="T797" s="282"/>
      <c r="U797" s="282"/>
    </row>
    <row r="798" spans="1:21" ht="13.5" customHeight="1">
      <c r="A798" s="34"/>
      <c r="B798" s="21" t="s">
        <v>480</v>
      </c>
      <c r="C798" s="12" t="s">
        <v>448</v>
      </c>
      <c r="D798" s="68">
        <v>145.72</v>
      </c>
      <c r="E798" s="197">
        <v>120.32</v>
      </c>
      <c r="F798" s="68">
        <v>300</v>
      </c>
      <c r="G798" s="68">
        <v>300</v>
      </c>
      <c r="H798" s="68">
        <v>300</v>
      </c>
      <c r="I798" s="197">
        <v>1141.78</v>
      </c>
      <c r="J798" s="197">
        <f>1142-700</f>
        <v>442</v>
      </c>
      <c r="K798" s="197">
        <v>1141.78</v>
      </c>
      <c r="L798" s="282">
        <v>52</v>
      </c>
      <c r="M798" s="282">
        <v>52</v>
      </c>
      <c r="N798" s="282"/>
      <c r="O798" s="282"/>
      <c r="P798" s="282"/>
      <c r="Q798" s="117">
        <f t="shared" si="1241"/>
        <v>52</v>
      </c>
      <c r="R798" s="117">
        <f t="shared" si="1242"/>
        <v>0</v>
      </c>
      <c r="S798" s="282">
        <v>0</v>
      </c>
      <c r="T798" s="282"/>
      <c r="U798" s="282"/>
    </row>
    <row r="799" spans="1:21" ht="47.25" customHeight="1">
      <c r="A799" s="34"/>
      <c r="B799" s="49" t="s">
        <v>526</v>
      </c>
      <c r="C799" s="92"/>
      <c r="D799" s="78">
        <f t="shared" ref="D799:U799" si="1258">D800</f>
        <v>102.22</v>
      </c>
      <c r="E799" s="78">
        <f t="shared" si="1258"/>
        <v>2.83</v>
      </c>
      <c r="F799" s="78">
        <f t="shared" si="1258"/>
        <v>1959</v>
      </c>
      <c r="G799" s="78">
        <f t="shared" si="1258"/>
        <v>1959</v>
      </c>
      <c r="H799" s="78">
        <f t="shared" si="1258"/>
        <v>1959</v>
      </c>
      <c r="I799" s="78">
        <f t="shared" si="1258"/>
        <v>4337.6000000000004</v>
      </c>
      <c r="J799" s="78">
        <f t="shared" si="1258"/>
        <v>3637</v>
      </c>
      <c r="K799" s="78">
        <f t="shared" si="1258"/>
        <v>4337.6000000000004</v>
      </c>
      <c r="L799" s="297">
        <f t="shared" si="1258"/>
        <v>3380</v>
      </c>
      <c r="M799" s="297">
        <f t="shared" si="1258"/>
        <v>878</v>
      </c>
      <c r="N799" s="297">
        <f t="shared" si="1258"/>
        <v>835</v>
      </c>
      <c r="O799" s="297">
        <f t="shared" si="1258"/>
        <v>835</v>
      </c>
      <c r="P799" s="297">
        <f t="shared" si="1258"/>
        <v>832</v>
      </c>
      <c r="Q799" s="117">
        <f t="shared" si="1241"/>
        <v>3380</v>
      </c>
      <c r="R799" s="117">
        <f t="shared" si="1242"/>
        <v>0</v>
      </c>
      <c r="S799" s="297">
        <f t="shared" si="1258"/>
        <v>933</v>
      </c>
      <c r="T799" s="297">
        <f t="shared" si="1258"/>
        <v>0</v>
      </c>
      <c r="U799" s="297">
        <f t="shared" si="1258"/>
        <v>0</v>
      </c>
    </row>
    <row r="800" spans="1:21" ht="27.75" customHeight="1">
      <c r="A800" s="34"/>
      <c r="B800" s="32" t="s">
        <v>445</v>
      </c>
      <c r="C800" s="12">
        <v>58</v>
      </c>
      <c r="D800" s="66">
        <f t="shared" ref="D800:U800" si="1259">D801+D802+D803</f>
        <v>102.22</v>
      </c>
      <c r="E800" s="66">
        <f t="shared" ref="E800:F800" si="1260">E801+E802+E803</f>
        <v>2.83</v>
      </c>
      <c r="F800" s="66">
        <f t="shared" si="1260"/>
        <v>1959</v>
      </c>
      <c r="G800" s="66">
        <f t="shared" si="1259"/>
        <v>1959</v>
      </c>
      <c r="H800" s="66">
        <f t="shared" si="1259"/>
        <v>1959</v>
      </c>
      <c r="I800" s="66">
        <f t="shared" si="1259"/>
        <v>4337.6000000000004</v>
      </c>
      <c r="J800" s="66">
        <f t="shared" si="1259"/>
        <v>3637</v>
      </c>
      <c r="K800" s="66">
        <f t="shared" ref="K800:L800" si="1261">K801+K802+K803</f>
        <v>4337.6000000000004</v>
      </c>
      <c r="L800" s="288">
        <f t="shared" si="1261"/>
        <v>3380</v>
      </c>
      <c r="M800" s="288">
        <f t="shared" ref="M800:P800" si="1262">M801+M802+M803</f>
        <v>878</v>
      </c>
      <c r="N800" s="288">
        <f t="shared" si="1262"/>
        <v>835</v>
      </c>
      <c r="O800" s="288">
        <f t="shared" si="1262"/>
        <v>835</v>
      </c>
      <c r="P800" s="288">
        <f t="shared" si="1262"/>
        <v>832</v>
      </c>
      <c r="Q800" s="117">
        <f t="shared" si="1241"/>
        <v>3380</v>
      </c>
      <c r="R800" s="117">
        <f t="shared" si="1242"/>
        <v>0</v>
      </c>
      <c r="S800" s="288">
        <f t="shared" si="1259"/>
        <v>933</v>
      </c>
      <c r="T800" s="288">
        <f t="shared" si="1259"/>
        <v>0</v>
      </c>
      <c r="U800" s="288">
        <f t="shared" si="1259"/>
        <v>0</v>
      </c>
    </row>
    <row r="801" spans="1:21" ht="18.75" customHeight="1">
      <c r="A801" s="34"/>
      <c r="B801" s="21" t="s">
        <v>477</v>
      </c>
      <c r="C801" s="12" t="s">
        <v>478</v>
      </c>
      <c r="D801" s="68">
        <v>0.76</v>
      </c>
      <c r="E801" s="197">
        <v>0.37</v>
      </c>
      <c r="F801" s="68">
        <v>227</v>
      </c>
      <c r="G801" s="68">
        <v>227</v>
      </c>
      <c r="H801" s="68">
        <v>227</v>
      </c>
      <c r="I801" s="197">
        <v>442.5</v>
      </c>
      <c r="J801" s="197">
        <v>443</v>
      </c>
      <c r="K801" s="197">
        <v>442.5</v>
      </c>
      <c r="L801" s="282">
        <v>443</v>
      </c>
      <c r="M801" s="282">
        <v>111</v>
      </c>
      <c r="N801" s="282">
        <v>111</v>
      </c>
      <c r="O801" s="282">
        <v>111</v>
      </c>
      <c r="P801" s="282">
        <v>110</v>
      </c>
      <c r="Q801" s="117">
        <f t="shared" si="1241"/>
        <v>443</v>
      </c>
      <c r="R801" s="117">
        <f t="shared" si="1242"/>
        <v>0</v>
      </c>
      <c r="S801" s="282">
        <v>249</v>
      </c>
      <c r="T801" s="282"/>
      <c r="U801" s="282"/>
    </row>
    <row r="802" spans="1:21" ht="16.5" customHeight="1">
      <c r="A802" s="34"/>
      <c r="B802" s="21" t="s">
        <v>479</v>
      </c>
      <c r="C802" s="12" t="s">
        <v>447</v>
      </c>
      <c r="D802" s="68">
        <v>4.96</v>
      </c>
      <c r="E802" s="197">
        <v>2.41</v>
      </c>
      <c r="F802" s="68">
        <v>1482</v>
      </c>
      <c r="G802" s="68">
        <v>1482</v>
      </c>
      <c r="H802" s="68">
        <v>1482</v>
      </c>
      <c r="I802" s="197">
        <v>2893.1</v>
      </c>
      <c r="J802" s="197">
        <v>2894</v>
      </c>
      <c r="K802" s="197">
        <v>2893.1</v>
      </c>
      <c r="L802" s="282">
        <v>2894</v>
      </c>
      <c r="M802" s="282">
        <v>724</v>
      </c>
      <c r="N802" s="282">
        <v>724</v>
      </c>
      <c r="O802" s="282">
        <v>724</v>
      </c>
      <c r="P802" s="282">
        <v>722</v>
      </c>
      <c r="Q802" s="117">
        <f t="shared" si="1241"/>
        <v>2894</v>
      </c>
      <c r="R802" s="117">
        <f t="shared" si="1242"/>
        <v>0</v>
      </c>
      <c r="S802" s="282">
        <v>684</v>
      </c>
      <c r="T802" s="282"/>
      <c r="U802" s="282"/>
    </row>
    <row r="803" spans="1:21" ht="15.75" customHeight="1">
      <c r="A803" s="34"/>
      <c r="B803" s="21" t="s">
        <v>480</v>
      </c>
      <c r="C803" s="12" t="s">
        <v>448</v>
      </c>
      <c r="D803" s="68">
        <v>96.5</v>
      </c>
      <c r="E803" s="197">
        <v>0.05</v>
      </c>
      <c r="F803" s="68">
        <v>250</v>
      </c>
      <c r="G803" s="68">
        <v>250</v>
      </c>
      <c r="H803" s="68">
        <v>250</v>
      </c>
      <c r="I803" s="197">
        <v>1002</v>
      </c>
      <c r="J803" s="197">
        <v>300</v>
      </c>
      <c r="K803" s="197">
        <v>1002</v>
      </c>
      <c r="L803" s="282">
        <v>43</v>
      </c>
      <c r="M803" s="282">
        <v>43</v>
      </c>
      <c r="N803" s="282"/>
      <c r="O803" s="282"/>
      <c r="P803" s="282"/>
      <c r="Q803" s="117">
        <f t="shared" si="1241"/>
        <v>43</v>
      </c>
      <c r="R803" s="117">
        <f t="shared" si="1242"/>
        <v>0</v>
      </c>
      <c r="S803" s="282">
        <v>0</v>
      </c>
      <c r="T803" s="282"/>
      <c r="U803" s="282"/>
    </row>
    <row r="804" spans="1:21" ht="39.75" customHeight="1">
      <c r="A804" s="34"/>
      <c r="B804" s="49" t="s">
        <v>527</v>
      </c>
      <c r="C804" s="92"/>
      <c r="D804" s="78">
        <f t="shared" ref="D804:U804" si="1263">D805</f>
        <v>7.74</v>
      </c>
      <c r="E804" s="78">
        <f t="shared" si="1263"/>
        <v>854.56</v>
      </c>
      <c r="F804" s="78">
        <f t="shared" si="1263"/>
        <v>2035</v>
      </c>
      <c r="G804" s="78">
        <f t="shared" si="1263"/>
        <v>2035</v>
      </c>
      <c r="H804" s="78">
        <f t="shared" si="1263"/>
        <v>2035</v>
      </c>
      <c r="I804" s="78">
        <f t="shared" si="1263"/>
        <v>4512.1900000000005</v>
      </c>
      <c r="J804" s="78">
        <f t="shared" si="1263"/>
        <v>3513</v>
      </c>
      <c r="K804" s="78">
        <f t="shared" si="1263"/>
        <v>4512.1900000000005</v>
      </c>
      <c r="L804" s="297">
        <f t="shared" si="1263"/>
        <v>3285</v>
      </c>
      <c r="M804" s="297">
        <f t="shared" si="1263"/>
        <v>844</v>
      </c>
      <c r="N804" s="297">
        <f t="shared" si="1263"/>
        <v>814</v>
      </c>
      <c r="O804" s="297">
        <f t="shared" si="1263"/>
        <v>814</v>
      </c>
      <c r="P804" s="297">
        <f t="shared" si="1263"/>
        <v>813</v>
      </c>
      <c r="Q804" s="117">
        <f t="shared" si="1241"/>
        <v>3285</v>
      </c>
      <c r="R804" s="117">
        <f t="shared" si="1242"/>
        <v>0</v>
      </c>
      <c r="S804" s="297">
        <f t="shared" si="1263"/>
        <v>184</v>
      </c>
      <c r="T804" s="297">
        <f t="shared" si="1263"/>
        <v>0</v>
      </c>
      <c r="U804" s="297">
        <f t="shared" si="1263"/>
        <v>0</v>
      </c>
    </row>
    <row r="805" spans="1:21" ht="29.25" customHeight="1">
      <c r="A805" s="34"/>
      <c r="B805" s="32" t="s">
        <v>445</v>
      </c>
      <c r="C805" s="12">
        <v>58</v>
      </c>
      <c r="D805" s="66">
        <f t="shared" ref="D805:U805" si="1264">D806+D807+D808</f>
        <v>7.74</v>
      </c>
      <c r="E805" s="66">
        <f t="shared" ref="E805:F805" si="1265">E806+E807+E808</f>
        <v>854.56</v>
      </c>
      <c r="F805" s="66">
        <f t="shared" si="1265"/>
        <v>2035</v>
      </c>
      <c r="G805" s="66">
        <f t="shared" si="1264"/>
        <v>2035</v>
      </c>
      <c r="H805" s="66">
        <f t="shared" si="1264"/>
        <v>2035</v>
      </c>
      <c r="I805" s="66">
        <f t="shared" si="1264"/>
        <v>4512.1900000000005</v>
      </c>
      <c r="J805" s="66">
        <f t="shared" si="1264"/>
        <v>3513</v>
      </c>
      <c r="K805" s="66">
        <f t="shared" ref="K805:L805" si="1266">K806+K807+K808</f>
        <v>4512.1900000000005</v>
      </c>
      <c r="L805" s="288">
        <f t="shared" si="1266"/>
        <v>3285</v>
      </c>
      <c r="M805" s="288">
        <f t="shared" ref="M805:P805" si="1267">M806+M807+M808</f>
        <v>844</v>
      </c>
      <c r="N805" s="288">
        <f t="shared" si="1267"/>
        <v>814</v>
      </c>
      <c r="O805" s="288">
        <f t="shared" si="1267"/>
        <v>814</v>
      </c>
      <c r="P805" s="288">
        <f t="shared" si="1267"/>
        <v>813</v>
      </c>
      <c r="Q805" s="117">
        <f t="shared" si="1241"/>
        <v>3285</v>
      </c>
      <c r="R805" s="117">
        <f t="shared" si="1242"/>
        <v>0</v>
      </c>
      <c r="S805" s="288">
        <f t="shared" si="1264"/>
        <v>184</v>
      </c>
      <c r="T805" s="288">
        <f t="shared" si="1264"/>
        <v>0</v>
      </c>
      <c r="U805" s="288">
        <f t="shared" si="1264"/>
        <v>0</v>
      </c>
    </row>
    <row r="806" spans="1:21" ht="15" customHeight="1">
      <c r="A806" s="34"/>
      <c r="B806" s="21" t="s">
        <v>477</v>
      </c>
      <c r="C806" s="12" t="s">
        <v>478</v>
      </c>
      <c r="D806" s="68">
        <v>0.93</v>
      </c>
      <c r="E806" s="197">
        <v>90.07</v>
      </c>
      <c r="F806" s="68">
        <v>237</v>
      </c>
      <c r="G806" s="68">
        <v>237</v>
      </c>
      <c r="H806" s="68">
        <v>237</v>
      </c>
      <c r="I806" s="197">
        <v>431.74</v>
      </c>
      <c r="J806" s="197">
        <v>432</v>
      </c>
      <c r="K806" s="197">
        <v>431.74</v>
      </c>
      <c r="L806" s="282">
        <v>432</v>
      </c>
      <c r="M806" s="282">
        <v>108</v>
      </c>
      <c r="N806" s="282">
        <v>108</v>
      </c>
      <c r="O806" s="282">
        <v>108</v>
      </c>
      <c r="P806" s="282">
        <v>108</v>
      </c>
      <c r="Q806" s="117">
        <f t="shared" si="1241"/>
        <v>432</v>
      </c>
      <c r="R806" s="117">
        <f t="shared" si="1242"/>
        <v>0</v>
      </c>
      <c r="S806" s="282">
        <v>25</v>
      </c>
      <c r="T806" s="282"/>
      <c r="U806" s="282"/>
    </row>
    <row r="807" spans="1:21" ht="17.25" customHeight="1">
      <c r="A807" s="34"/>
      <c r="B807" s="21" t="s">
        <v>479</v>
      </c>
      <c r="C807" s="12" t="s">
        <v>447</v>
      </c>
      <c r="D807" s="68">
        <v>6.07</v>
      </c>
      <c r="E807" s="197">
        <v>588.92999999999995</v>
      </c>
      <c r="F807" s="68">
        <v>1548</v>
      </c>
      <c r="G807" s="68">
        <v>1548</v>
      </c>
      <c r="H807" s="68">
        <v>1548</v>
      </c>
      <c r="I807" s="197">
        <v>2822.9</v>
      </c>
      <c r="J807" s="197">
        <v>2823</v>
      </c>
      <c r="K807" s="197">
        <v>2822.9</v>
      </c>
      <c r="L807" s="282">
        <v>2823</v>
      </c>
      <c r="M807" s="282">
        <v>706</v>
      </c>
      <c r="N807" s="282">
        <v>706</v>
      </c>
      <c r="O807" s="282">
        <v>706</v>
      </c>
      <c r="P807" s="282">
        <v>705</v>
      </c>
      <c r="Q807" s="117">
        <f t="shared" si="1241"/>
        <v>2823</v>
      </c>
      <c r="R807" s="117">
        <f t="shared" si="1242"/>
        <v>0</v>
      </c>
      <c r="S807" s="282">
        <v>159</v>
      </c>
      <c r="T807" s="282"/>
      <c r="U807" s="282"/>
    </row>
    <row r="808" spans="1:21" ht="18" customHeight="1">
      <c r="A808" s="34"/>
      <c r="B808" s="21" t="s">
        <v>480</v>
      </c>
      <c r="C808" s="12" t="s">
        <v>448</v>
      </c>
      <c r="D808" s="68">
        <v>0.74</v>
      </c>
      <c r="E808" s="197">
        <v>175.56</v>
      </c>
      <c r="F808" s="68">
        <v>250</v>
      </c>
      <c r="G808" s="68">
        <v>250</v>
      </c>
      <c r="H808" s="68">
        <v>250</v>
      </c>
      <c r="I808" s="197">
        <v>1257.55</v>
      </c>
      <c r="J808" s="197">
        <f>1258-1000</f>
        <v>258</v>
      </c>
      <c r="K808" s="197">
        <v>1257.55</v>
      </c>
      <c r="L808" s="282">
        <v>30</v>
      </c>
      <c r="M808" s="282">
        <v>30</v>
      </c>
      <c r="N808" s="282"/>
      <c r="O808" s="282"/>
      <c r="P808" s="282"/>
      <c r="Q808" s="117">
        <f t="shared" si="1241"/>
        <v>30</v>
      </c>
      <c r="R808" s="117">
        <f t="shared" si="1242"/>
        <v>0</v>
      </c>
      <c r="S808" s="282">
        <v>0</v>
      </c>
      <c r="T808" s="282"/>
      <c r="U808" s="282"/>
    </row>
    <row r="809" spans="1:21" ht="30" customHeight="1">
      <c r="A809" s="34"/>
      <c r="B809" s="49" t="s">
        <v>577</v>
      </c>
      <c r="C809" s="93"/>
      <c r="D809" s="78">
        <f t="shared" ref="D809:U810" si="1268">D810</f>
        <v>38.71</v>
      </c>
      <c r="E809" s="78">
        <f t="shared" si="1268"/>
        <v>290.63</v>
      </c>
      <c r="F809" s="78">
        <f t="shared" si="1268"/>
        <v>401</v>
      </c>
      <c r="G809" s="78">
        <f t="shared" si="1268"/>
        <v>401</v>
      </c>
      <c r="H809" s="78">
        <f t="shared" si="1268"/>
        <v>401</v>
      </c>
      <c r="I809" s="78">
        <f t="shared" si="1268"/>
        <v>325</v>
      </c>
      <c r="J809" s="78">
        <f t="shared" si="1268"/>
        <v>325</v>
      </c>
      <c r="K809" s="78">
        <f t="shared" si="1268"/>
        <v>325</v>
      </c>
      <c r="L809" s="297">
        <f t="shared" si="1268"/>
        <v>325</v>
      </c>
      <c r="M809" s="297">
        <f t="shared" si="1268"/>
        <v>87</v>
      </c>
      <c r="N809" s="297">
        <f t="shared" si="1268"/>
        <v>80</v>
      </c>
      <c r="O809" s="297">
        <f t="shared" si="1268"/>
        <v>80</v>
      </c>
      <c r="P809" s="297">
        <f t="shared" si="1268"/>
        <v>78</v>
      </c>
      <c r="Q809" s="117">
        <f t="shared" si="1241"/>
        <v>325</v>
      </c>
      <c r="R809" s="117">
        <f t="shared" si="1242"/>
        <v>0</v>
      </c>
      <c r="S809" s="297">
        <f t="shared" si="1268"/>
        <v>318</v>
      </c>
      <c r="T809" s="297">
        <f t="shared" si="1268"/>
        <v>55</v>
      </c>
      <c r="U809" s="297">
        <f t="shared" si="1268"/>
        <v>0</v>
      </c>
    </row>
    <row r="810" spans="1:21" ht="21" customHeight="1">
      <c r="A810" s="34"/>
      <c r="B810" s="33" t="s">
        <v>165</v>
      </c>
      <c r="C810" s="12"/>
      <c r="D810" s="68">
        <f t="shared" si="1268"/>
        <v>38.71</v>
      </c>
      <c r="E810" s="68">
        <f t="shared" si="1268"/>
        <v>290.63</v>
      </c>
      <c r="F810" s="68">
        <f t="shared" si="1268"/>
        <v>401</v>
      </c>
      <c r="G810" s="68">
        <f t="shared" si="1268"/>
        <v>401</v>
      </c>
      <c r="H810" s="68">
        <f t="shared" si="1268"/>
        <v>401</v>
      </c>
      <c r="I810" s="68">
        <f t="shared" si="1268"/>
        <v>325</v>
      </c>
      <c r="J810" s="68">
        <f t="shared" si="1268"/>
        <v>325</v>
      </c>
      <c r="K810" s="68">
        <f t="shared" si="1268"/>
        <v>325</v>
      </c>
      <c r="L810" s="176">
        <f t="shared" si="1268"/>
        <v>325</v>
      </c>
      <c r="M810" s="176">
        <f t="shared" si="1268"/>
        <v>87</v>
      </c>
      <c r="N810" s="176">
        <f t="shared" si="1268"/>
        <v>80</v>
      </c>
      <c r="O810" s="176">
        <f t="shared" si="1268"/>
        <v>80</v>
      </c>
      <c r="P810" s="176">
        <f t="shared" si="1268"/>
        <v>78</v>
      </c>
      <c r="Q810" s="117">
        <f t="shared" si="1241"/>
        <v>325</v>
      </c>
      <c r="R810" s="117">
        <f t="shared" si="1242"/>
        <v>0</v>
      </c>
      <c r="S810" s="176">
        <f t="shared" si="1268"/>
        <v>318</v>
      </c>
      <c r="T810" s="176">
        <f t="shared" si="1268"/>
        <v>55</v>
      </c>
      <c r="U810" s="176">
        <f t="shared" si="1268"/>
        <v>0</v>
      </c>
    </row>
    <row r="811" spans="1:21" ht="29.25" customHeight="1">
      <c r="A811" s="34"/>
      <c r="B811" s="32" t="s">
        <v>445</v>
      </c>
      <c r="C811" s="12">
        <v>58</v>
      </c>
      <c r="D811" s="68">
        <f t="shared" ref="D811:U811" si="1269">D812+D813+D814</f>
        <v>38.71</v>
      </c>
      <c r="E811" s="68">
        <f t="shared" ref="E811:F811" si="1270">E812+E813+E814</f>
        <v>290.63</v>
      </c>
      <c r="F811" s="68">
        <f t="shared" si="1270"/>
        <v>401</v>
      </c>
      <c r="G811" s="68">
        <f t="shared" si="1269"/>
        <v>401</v>
      </c>
      <c r="H811" s="68">
        <f t="shared" si="1269"/>
        <v>401</v>
      </c>
      <c r="I811" s="68">
        <f t="shared" si="1269"/>
        <v>325</v>
      </c>
      <c r="J811" s="68">
        <f t="shared" si="1269"/>
        <v>325</v>
      </c>
      <c r="K811" s="68">
        <f t="shared" ref="K811:L811" si="1271">K812+K813+K814</f>
        <v>325</v>
      </c>
      <c r="L811" s="176">
        <f t="shared" si="1271"/>
        <v>325</v>
      </c>
      <c r="M811" s="176">
        <f t="shared" ref="M811:P811" si="1272">M812+M813+M814</f>
        <v>87</v>
      </c>
      <c r="N811" s="176">
        <f t="shared" si="1272"/>
        <v>80</v>
      </c>
      <c r="O811" s="176">
        <f t="shared" si="1272"/>
        <v>80</v>
      </c>
      <c r="P811" s="176">
        <f t="shared" si="1272"/>
        <v>78</v>
      </c>
      <c r="Q811" s="117">
        <f t="shared" si="1241"/>
        <v>325</v>
      </c>
      <c r="R811" s="117">
        <f t="shared" si="1242"/>
        <v>0</v>
      </c>
      <c r="S811" s="176">
        <f t="shared" si="1269"/>
        <v>318</v>
      </c>
      <c r="T811" s="176">
        <f t="shared" si="1269"/>
        <v>55</v>
      </c>
      <c r="U811" s="176">
        <f t="shared" si="1269"/>
        <v>0</v>
      </c>
    </row>
    <row r="812" spans="1:21" ht="17.25" customHeight="1">
      <c r="A812" s="34"/>
      <c r="B812" s="21" t="s">
        <v>477</v>
      </c>
      <c r="C812" s="12" t="s">
        <v>489</v>
      </c>
      <c r="D812" s="68">
        <v>5.25</v>
      </c>
      <c r="E812" s="197">
        <v>39.4</v>
      </c>
      <c r="F812" s="68">
        <v>55</v>
      </c>
      <c r="G812" s="68">
        <v>55</v>
      </c>
      <c r="H812" s="68">
        <v>55</v>
      </c>
      <c r="I812" s="197">
        <v>44</v>
      </c>
      <c r="J812" s="197">
        <v>44</v>
      </c>
      <c r="K812" s="197">
        <v>44</v>
      </c>
      <c r="L812" s="282">
        <v>44</v>
      </c>
      <c r="M812" s="282">
        <v>11</v>
      </c>
      <c r="N812" s="282">
        <v>11</v>
      </c>
      <c r="O812" s="282">
        <v>11</v>
      </c>
      <c r="P812" s="282">
        <v>11</v>
      </c>
      <c r="Q812" s="117">
        <f t="shared" si="1241"/>
        <v>44</v>
      </c>
      <c r="R812" s="117">
        <f t="shared" si="1242"/>
        <v>0</v>
      </c>
      <c r="S812" s="282">
        <v>44</v>
      </c>
      <c r="T812" s="282">
        <v>8</v>
      </c>
      <c r="U812" s="282"/>
    </row>
    <row r="813" spans="1:21" ht="14.25" customHeight="1">
      <c r="A813" s="34"/>
      <c r="B813" s="21" t="s">
        <v>479</v>
      </c>
      <c r="C813" s="12" t="s">
        <v>490</v>
      </c>
      <c r="D813" s="68">
        <v>32.69</v>
      </c>
      <c r="E813" s="197">
        <v>245.41</v>
      </c>
      <c r="F813" s="68">
        <v>338</v>
      </c>
      <c r="G813" s="68">
        <v>338</v>
      </c>
      <c r="H813" s="68">
        <v>338</v>
      </c>
      <c r="I813" s="197">
        <v>274</v>
      </c>
      <c r="J813" s="197">
        <v>274</v>
      </c>
      <c r="K813" s="197">
        <v>274</v>
      </c>
      <c r="L813" s="282">
        <v>274</v>
      </c>
      <c r="M813" s="282">
        <v>69</v>
      </c>
      <c r="N813" s="282">
        <v>69</v>
      </c>
      <c r="O813" s="282">
        <v>69</v>
      </c>
      <c r="P813" s="282">
        <v>67</v>
      </c>
      <c r="Q813" s="117">
        <f t="shared" si="1241"/>
        <v>274</v>
      </c>
      <c r="R813" s="117">
        <f t="shared" si="1242"/>
        <v>0</v>
      </c>
      <c r="S813" s="282">
        <v>274</v>
      </c>
      <c r="T813" s="282">
        <v>46</v>
      </c>
      <c r="U813" s="282"/>
    </row>
    <row r="814" spans="1:21" ht="15" customHeight="1">
      <c r="A814" s="34"/>
      <c r="B814" s="21" t="s">
        <v>480</v>
      </c>
      <c r="C814" s="12" t="s">
        <v>491</v>
      </c>
      <c r="D814" s="68">
        <v>0.77</v>
      </c>
      <c r="E814" s="197">
        <v>5.82</v>
      </c>
      <c r="F814" s="68">
        <v>8</v>
      </c>
      <c r="G814" s="68">
        <v>8</v>
      </c>
      <c r="H814" s="68">
        <v>8</v>
      </c>
      <c r="I814" s="197">
        <v>7</v>
      </c>
      <c r="J814" s="197">
        <v>7</v>
      </c>
      <c r="K814" s="197">
        <v>7</v>
      </c>
      <c r="L814" s="282">
        <v>7</v>
      </c>
      <c r="M814" s="282">
        <v>7</v>
      </c>
      <c r="N814" s="282"/>
      <c r="O814" s="282"/>
      <c r="P814" s="282"/>
      <c r="Q814" s="117">
        <f t="shared" si="1241"/>
        <v>7</v>
      </c>
      <c r="R814" s="117">
        <f t="shared" si="1242"/>
        <v>0</v>
      </c>
      <c r="S814" s="282">
        <v>0</v>
      </c>
      <c r="T814" s="282">
        <v>1</v>
      </c>
      <c r="U814" s="282"/>
    </row>
    <row r="815" spans="1:21" ht="47.25" customHeight="1">
      <c r="A815" s="34"/>
      <c r="B815" s="196" t="s">
        <v>618</v>
      </c>
      <c r="C815" s="92"/>
      <c r="D815" s="78"/>
      <c r="E815" s="78">
        <f t="shared" ref="E815:F815" si="1273">E817</f>
        <v>14.47</v>
      </c>
      <c r="F815" s="78">
        <f t="shared" si="1273"/>
        <v>175</v>
      </c>
      <c r="G815" s="78">
        <f t="shared" ref="G815:U815" si="1274">G817</f>
        <v>0</v>
      </c>
      <c r="H815" s="78">
        <f t="shared" si="1274"/>
        <v>175</v>
      </c>
      <c r="I815" s="78">
        <f t="shared" si="1274"/>
        <v>2287.63</v>
      </c>
      <c r="J815" s="78">
        <f t="shared" si="1274"/>
        <v>2288</v>
      </c>
      <c r="K815" s="78">
        <f t="shared" ref="K815:L815" si="1275">K817</f>
        <v>2287.63</v>
      </c>
      <c r="L815" s="297">
        <f t="shared" si="1275"/>
        <v>2050</v>
      </c>
      <c r="M815" s="297">
        <f t="shared" ref="M815:P815" si="1276">M817</f>
        <v>663</v>
      </c>
      <c r="N815" s="297">
        <f t="shared" si="1276"/>
        <v>463</v>
      </c>
      <c r="O815" s="297">
        <f t="shared" si="1276"/>
        <v>463</v>
      </c>
      <c r="P815" s="297">
        <f t="shared" si="1276"/>
        <v>461</v>
      </c>
      <c r="Q815" s="117">
        <f t="shared" si="1241"/>
        <v>2050</v>
      </c>
      <c r="R815" s="117">
        <f t="shared" si="1242"/>
        <v>0</v>
      </c>
      <c r="S815" s="297">
        <f t="shared" si="1274"/>
        <v>2719</v>
      </c>
      <c r="T815" s="297">
        <f t="shared" si="1274"/>
        <v>0</v>
      </c>
      <c r="U815" s="297">
        <f t="shared" si="1274"/>
        <v>0</v>
      </c>
    </row>
    <row r="816" spans="1:21" ht="18.75" customHeight="1">
      <c r="A816" s="34"/>
      <c r="B816" s="33" t="s">
        <v>165</v>
      </c>
      <c r="C816" s="99"/>
      <c r="D816" s="68"/>
      <c r="E816" s="68">
        <f t="shared" ref="E816:U816" si="1277">E817</f>
        <v>14.47</v>
      </c>
      <c r="F816" s="68">
        <f t="shared" si="1277"/>
        <v>175</v>
      </c>
      <c r="G816" s="68">
        <f t="shared" si="1277"/>
        <v>0</v>
      </c>
      <c r="H816" s="68">
        <f t="shared" si="1277"/>
        <v>175</v>
      </c>
      <c r="I816" s="68">
        <f t="shared" si="1277"/>
        <v>2287.63</v>
      </c>
      <c r="J816" s="68">
        <f t="shared" si="1277"/>
        <v>2288</v>
      </c>
      <c r="K816" s="68">
        <f t="shared" si="1277"/>
        <v>2287.63</v>
      </c>
      <c r="L816" s="176">
        <f t="shared" si="1277"/>
        <v>2050</v>
      </c>
      <c r="M816" s="176">
        <f t="shared" si="1277"/>
        <v>663</v>
      </c>
      <c r="N816" s="176">
        <f t="shared" si="1277"/>
        <v>463</v>
      </c>
      <c r="O816" s="176">
        <f t="shared" si="1277"/>
        <v>463</v>
      </c>
      <c r="P816" s="176">
        <f t="shared" si="1277"/>
        <v>461</v>
      </c>
      <c r="Q816" s="117">
        <f t="shared" si="1241"/>
        <v>2050</v>
      </c>
      <c r="R816" s="117">
        <f t="shared" si="1242"/>
        <v>0</v>
      </c>
      <c r="S816" s="176">
        <f t="shared" si="1277"/>
        <v>2719</v>
      </c>
      <c r="T816" s="176">
        <f t="shared" si="1277"/>
        <v>0</v>
      </c>
      <c r="U816" s="176">
        <f t="shared" si="1277"/>
        <v>0</v>
      </c>
    </row>
    <row r="817" spans="1:21" ht="15" customHeight="1">
      <c r="A817" s="34"/>
      <c r="B817" s="48" t="s">
        <v>617</v>
      </c>
      <c r="C817" s="12">
        <v>58</v>
      </c>
      <c r="D817" s="68"/>
      <c r="E817" s="66">
        <f t="shared" ref="E817:F817" si="1278">E818+E819+E820</f>
        <v>14.47</v>
      </c>
      <c r="F817" s="66">
        <f t="shared" si="1278"/>
        <v>175</v>
      </c>
      <c r="G817" s="66">
        <f t="shared" ref="G817:U817" si="1279">G818+G819+G820</f>
        <v>0</v>
      </c>
      <c r="H817" s="66">
        <f t="shared" si="1279"/>
        <v>175</v>
      </c>
      <c r="I817" s="66">
        <f t="shared" si="1279"/>
        <v>2287.63</v>
      </c>
      <c r="J817" s="66">
        <f t="shared" si="1279"/>
        <v>2288</v>
      </c>
      <c r="K817" s="66">
        <f t="shared" ref="K817:L817" si="1280">K818+K819+K820</f>
        <v>2287.63</v>
      </c>
      <c r="L817" s="288">
        <f t="shared" si="1280"/>
        <v>2050</v>
      </c>
      <c r="M817" s="288">
        <f t="shared" ref="M817:P817" si="1281">M818+M819+M820</f>
        <v>663</v>
      </c>
      <c r="N817" s="288">
        <f t="shared" si="1281"/>
        <v>463</v>
      </c>
      <c r="O817" s="288">
        <f t="shared" si="1281"/>
        <v>463</v>
      </c>
      <c r="P817" s="288">
        <f t="shared" si="1281"/>
        <v>461</v>
      </c>
      <c r="Q817" s="117">
        <f t="shared" si="1241"/>
        <v>2050</v>
      </c>
      <c r="R817" s="117">
        <f t="shared" si="1242"/>
        <v>0</v>
      </c>
      <c r="S817" s="288">
        <f t="shared" si="1279"/>
        <v>2719</v>
      </c>
      <c r="T817" s="288">
        <f t="shared" si="1279"/>
        <v>0</v>
      </c>
      <c r="U817" s="288">
        <f t="shared" si="1279"/>
        <v>0</v>
      </c>
    </row>
    <row r="818" spans="1:21" ht="15" customHeight="1">
      <c r="A818" s="34"/>
      <c r="B818" s="21" t="s">
        <v>477</v>
      </c>
      <c r="C818" s="12" t="s">
        <v>478</v>
      </c>
      <c r="D818" s="68"/>
      <c r="E818" s="197">
        <v>0.45</v>
      </c>
      <c r="F818" s="68">
        <v>2</v>
      </c>
      <c r="G818" s="68"/>
      <c r="H818" s="68">
        <v>2</v>
      </c>
      <c r="I818" s="197">
        <v>550.04</v>
      </c>
      <c r="J818" s="197">
        <v>550</v>
      </c>
      <c r="K818" s="197">
        <v>550.04</v>
      </c>
      <c r="L818" s="282">
        <v>550</v>
      </c>
      <c r="M818" s="282">
        <v>138</v>
      </c>
      <c r="N818" s="282">
        <v>138</v>
      </c>
      <c r="O818" s="282">
        <v>138</v>
      </c>
      <c r="P818" s="282">
        <v>136</v>
      </c>
      <c r="Q818" s="117">
        <f t="shared" si="1241"/>
        <v>550</v>
      </c>
      <c r="R818" s="117">
        <f t="shared" si="1242"/>
        <v>0</v>
      </c>
      <c r="S818" s="282">
        <v>756</v>
      </c>
      <c r="T818" s="282"/>
      <c r="U818" s="282"/>
    </row>
    <row r="819" spans="1:21" ht="15" customHeight="1">
      <c r="A819" s="34"/>
      <c r="B819" s="21" t="s">
        <v>479</v>
      </c>
      <c r="C819" s="12" t="s">
        <v>447</v>
      </c>
      <c r="D819" s="68"/>
      <c r="E819" s="197">
        <v>1.1200000000000001</v>
      </c>
      <c r="F819" s="68">
        <v>4</v>
      </c>
      <c r="G819" s="68"/>
      <c r="H819" s="68">
        <v>4</v>
      </c>
      <c r="I819" s="197">
        <v>1300</v>
      </c>
      <c r="J819" s="197">
        <v>1300</v>
      </c>
      <c r="K819" s="197">
        <v>1300</v>
      </c>
      <c r="L819" s="282">
        <v>1300</v>
      </c>
      <c r="M819" s="282">
        <v>325</v>
      </c>
      <c r="N819" s="282">
        <v>325</v>
      </c>
      <c r="O819" s="282">
        <v>325</v>
      </c>
      <c r="P819" s="282">
        <v>325</v>
      </c>
      <c r="Q819" s="117">
        <f t="shared" si="1241"/>
        <v>1300</v>
      </c>
      <c r="R819" s="117">
        <f t="shared" si="1242"/>
        <v>0</v>
      </c>
      <c r="S819" s="282">
        <v>1963</v>
      </c>
      <c r="T819" s="282"/>
      <c r="U819" s="282"/>
    </row>
    <row r="820" spans="1:21" ht="15" customHeight="1">
      <c r="A820" s="34"/>
      <c r="B820" s="21" t="s">
        <v>480</v>
      </c>
      <c r="C820" s="12" t="s">
        <v>448</v>
      </c>
      <c r="D820" s="68"/>
      <c r="E820" s="197">
        <v>12.9</v>
      </c>
      <c r="F820" s="68">
        <v>169</v>
      </c>
      <c r="G820" s="68"/>
      <c r="H820" s="68">
        <v>169</v>
      </c>
      <c r="I820" s="197">
        <v>437.59</v>
      </c>
      <c r="J820" s="197">
        <v>438</v>
      </c>
      <c r="K820" s="197">
        <v>437.59</v>
      </c>
      <c r="L820" s="282">
        <v>200</v>
      </c>
      <c r="M820" s="282">
        <v>200</v>
      </c>
      <c r="N820" s="282"/>
      <c r="O820" s="282"/>
      <c r="P820" s="282"/>
      <c r="Q820" s="117">
        <f t="shared" si="1241"/>
        <v>200</v>
      </c>
      <c r="R820" s="117">
        <f t="shared" si="1242"/>
        <v>0</v>
      </c>
      <c r="S820" s="282">
        <v>0</v>
      </c>
      <c r="T820" s="282"/>
      <c r="U820" s="282"/>
    </row>
    <row r="821" spans="1:21" ht="35.25" customHeight="1">
      <c r="A821" s="34"/>
      <c r="B821" s="196" t="s">
        <v>619</v>
      </c>
      <c r="C821" s="92"/>
      <c r="D821" s="78"/>
      <c r="E821" s="78">
        <f t="shared" ref="E821:F821" si="1282">E823</f>
        <v>14.05</v>
      </c>
      <c r="F821" s="78">
        <f t="shared" si="1282"/>
        <v>174</v>
      </c>
      <c r="G821" s="78">
        <f t="shared" ref="G821:U821" si="1283">G823</f>
        <v>0</v>
      </c>
      <c r="H821" s="78">
        <f t="shared" si="1283"/>
        <v>174</v>
      </c>
      <c r="I821" s="78">
        <f t="shared" si="1283"/>
        <v>2394.9699999999998</v>
      </c>
      <c r="J821" s="78">
        <f t="shared" si="1283"/>
        <v>2396</v>
      </c>
      <c r="K821" s="78">
        <f t="shared" ref="K821:L821" si="1284">K823</f>
        <v>2394.9699999999998</v>
      </c>
      <c r="L821" s="297">
        <f t="shared" si="1284"/>
        <v>2203</v>
      </c>
      <c r="M821" s="297">
        <f t="shared" ref="M821:P821" si="1285">M823</f>
        <v>701</v>
      </c>
      <c r="N821" s="297">
        <f t="shared" si="1285"/>
        <v>501</v>
      </c>
      <c r="O821" s="297">
        <f t="shared" si="1285"/>
        <v>501</v>
      </c>
      <c r="P821" s="297">
        <f t="shared" si="1285"/>
        <v>500</v>
      </c>
      <c r="Q821" s="117">
        <f t="shared" si="1241"/>
        <v>2203</v>
      </c>
      <c r="R821" s="117">
        <f t="shared" si="1242"/>
        <v>0</v>
      </c>
      <c r="S821" s="297">
        <f t="shared" si="1283"/>
        <v>2560</v>
      </c>
      <c r="T821" s="297">
        <f t="shared" si="1283"/>
        <v>0</v>
      </c>
      <c r="U821" s="297">
        <f t="shared" si="1283"/>
        <v>0</v>
      </c>
    </row>
    <row r="822" spans="1:21" ht="23.25" customHeight="1">
      <c r="A822" s="34"/>
      <c r="B822" s="33" t="s">
        <v>165</v>
      </c>
      <c r="C822" s="99"/>
      <c r="D822" s="68"/>
      <c r="E822" s="68">
        <f t="shared" ref="E822:U822" si="1286">E823</f>
        <v>14.05</v>
      </c>
      <c r="F822" s="68">
        <f t="shared" si="1286"/>
        <v>174</v>
      </c>
      <c r="G822" s="68">
        <f t="shared" si="1286"/>
        <v>0</v>
      </c>
      <c r="H822" s="68">
        <f t="shared" si="1286"/>
        <v>174</v>
      </c>
      <c r="I822" s="68">
        <f t="shared" si="1286"/>
        <v>2394.9699999999998</v>
      </c>
      <c r="J822" s="68">
        <f t="shared" si="1286"/>
        <v>2396</v>
      </c>
      <c r="K822" s="68">
        <f t="shared" si="1286"/>
        <v>2394.9699999999998</v>
      </c>
      <c r="L822" s="176">
        <f t="shared" si="1286"/>
        <v>2203</v>
      </c>
      <c r="M822" s="176">
        <f t="shared" si="1286"/>
        <v>701</v>
      </c>
      <c r="N822" s="176">
        <f t="shared" si="1286"/>
        <v>501</v>
      </c>
      <c r="O822" s="176">
        <f t="shared" si="1286"/>
        <v>501</v>
      </c>
      <c r="P822" s="176">
        <f t="shared" si="1286"/>
        <v>500</v>
      </c>
      <c r="Q822" s="117">
        <f t="shared" si="1241"/>
        <v>2203</v>
      </c>
      <c r="R822" s="117">
        <f t="shared" si="1242"/>
        <v>0</v>
      </c>
      <c r="S822" s="176">
        <f t="shared" si="1286"/>
        <v>2560</v>
      </c>
      <c r="T822" s="176">
        <f t="shared" si="1286"/>
        <v>0</v>
      </c>
      <c r="U822" s="176">
        <f t="shared" si="1286"/>
        <v>0</v>
      </c>
    </row>
    <row r="823" spans="1:21" ht="15" customHeight="1">
      <c r="A823" s="34"/>
      <c r="B823" s="48" t="s">
        <v>617</v>
      </c>
      <c r="C823" s="12">
        <v>58</v>
      </c>
      <c r="D823" s="68"/>
      <c r="E823" s="66">
        <f t="shared" ref="E823:F823" si="1287">E824+E825+E826</f>
        <v>14.05</v>
      </c>
      <c r="F823" s="66">
        <f t="shared" si="1287"/>
        <v>174</v>
      </c>
      <c r="G823" s="66">
        <f t="shared" ref="G823:U823" si="1288">G824+G825+G826</f>
        <v>0</v>
      </c>
      <c r="H823" s="66">
        <f t="shared" si="1288"/>
        <v>174</v>
      </c>
      <c r="I823" s="66">
        <f t="shared" si="1288"/>
        <v>2394.9699999999998</v>
      </c>
      <c r="J823" s="66">
        <f t="shared" si="1288"/>
        <v>2396</v>
      </c>
      <c r="K823" s="66">
        <f t="shared" ref="K823:L823" si="1289">K824+K825+K826</f>
        <v>2394.9699999999998</v>
      </c>
      <c r="L823" s="288">
        <f t="shared" si="1289"/>
        <v>2203</v>
      </c>
      <c r="M823" s="288">
        <f t="shared" ref="M823:P823" si="1290">M824+M825+M826</f>
        <v>701</v>
      </c>
      <c r="N823" s="288">
        <f t="shared" si="1290"/>
        <v>501</v>
      </c>
      <c r="O823" s="288">
        <f t="shared" si="1290"/>
        <v>501</v>
      </c>
      <c r="P823" s="288">
        <f t="shared" si="1290"/>
        <v>500</v>
      </c>
      <c r="Q823" s="117">
        <f t="shared" si="1241"/>
        <v>2203</v>
      </c>
      <c r="R823" s="117">
        <f t="shared" si="1242"/>
        <v>0</v>
      </c>
      <c r="S823" s="288">
        <f t="shared" si="1288"/>
        <v>2560</v>
      </c>
      <c r="T823" s="288">
        <f t="shared" si="1288"/>
        <v>0</v>
      </c>
      <c r="U823" s="288">
        <f t="shared" si="1288"/>
        <v>0</v>
      </c>
    </row>
    <row r="824" spans="1:21" ht="15" customHeight="1">
      <c r="A824" s="34"/>
      <c r="B824" s="21" t="s">
        <v>477</v>
      </c>
      <c r="C824" s="12" t="s">
        <v>478</v>
      </c>
      <c r="D824" s="68"/>
      <c r="E824" s="197">
        <v>0.45</v>
      </c>
      <c r="F824" s="68">
        <v>2</v>
      </c>
      <c r="G824" s="68"/>
      <c r="H824" s="68">
        <v>2</v>
      </c>
      <c r="I824" s="197">
        <v>535.48</v>
      </c>
      <c r="J824" s="197">
        <v>536</v>
      </c>
      <c r="K824" s="197">
        <v>535.48</v>
      </c>
      <c r="L824" s="282">
        <v>536</v>
      </c>
      <c r="M824" s="282">
        <v>134</v>
      </c>
      <c r="N824" s="282">
        <v>134</v>
      </c>
      <c r="O824" s="282">
        <v>134</v>
      </c>
      <c r="P824" s="282">
        <v>134</v>
      </c>
      <c r="Q824" s="117">
        <f t="shared" si="1241"/>
        <v>536</v>
      </c>
      <c r="R824" s="117">
        <f t="shared" si="1242"/>
        <v>0</v>
      </c>
      <c r="S824" s="282">
        <v>768</v>
      </c>
      <c r="T824" s="282"/>
      <c r="U824" s="282"/>
    </row>
    <row r="825" spans="1:21" ht="15" customHeight="1">
      <c r="A825" s="34"/>
      <c r="B825" s="21" t="s">
        <v>479</v>
      </c>
      <c r="C825" s="12" t="s">
        <v>447</v>
      </c>
      <c r="D825" s="68"/>
      <c r="E825" s="197">
        <v>1.1200000000000001</v>
      </c>
      <c r="F825" s="68">
        <v>4</v>
      </c>
      <c r="G825" s="68"/>
      <c r="H825" s="68">
        <v>4</v>
      </c>
      <c r="I825" s="197">
        <v>1466.06</v>
      </c>
      <c r="J825" s="197">
        <v>1466</v>
      </c>
      <c r="K825" s="197">
        <v>1466.06</v>
      </c>
      <c r="L825" s="282">
        <v>1467</v>
      </c>
      <c r="M825" s="282">
        <v>367</v>
      </c>
      <c r="N825" s="282">
        <v>367</v>
      </c>
      <c r="O825" s="282">
        <v>367</v>
      </c>
      <c r="P825" s="282">
        <v>366</v>
      </c>
      <c r="Q825" s="117">
        <f t="shared" si="1241"/>
        <v>1467</v>
      </c>
      <c r="R825" s="117">
        <f t="shared" si="1242"/>
        <v>0</v>
      </c>
      <c r="S825" s="282">
        <v>1792</v>
      </c>
      <c r="T825" s="282"/>
      <c r="U825" s="282"/>
    </row>
    <row r="826" spans="1:21" ht="15.75" customHeight="1">
      <c r="A826" s="34"/>
      <c r="B826" s="21" t="s">
        <v>480</v>
      </c>
      <c r="C826" s="12" t="s">
        <v>448</v>
      </c>
      <c r="D826" s="68"/>
      <c r="E826" s="197">
        <v>12.48</v>
      </c>
      <c r="F826" s="68">
        <v>168</v>
      </c>
      <c r="G826" s="68"/>
      <c r="H826" s="68">
        <v>168</v>
      </c>
      <c r="I826" s="197">
        <v>393.43</v>
      </c>
      <c r="J826" s="197">
        <v>394</v>
      </c>
      <c r="K826" s="197">
        <v>393.43</v>
      </c>
      <c r="L826" s="282">
        <v>200</v>
      </c>
      <c r="M826" s="282">
        <v>200</v>
      </c>
      <c r="N826" s="282"/>
      <c r="O826" s="282"/>
      <c r="P826" s="282"/>
      <c r="Q826" s="117">
        <f t="shared" si="1241"/>
        <v>200</v>
      </c>
      <c r="R826" s="117">
        <f t="shared" si="1242"/>
        <v>0</v>
      </c>
      <c r="S826" s="282">
        <v>0</v>
      </c>
      <c r="T826" s="282"/>
      <c r="U826" s="282"/>
    </row>
    <row r="827" spans="1:21" ht="30.75" customHeight="1">
      <c r="A827" s="34"/>
      <c r="B827" s="196" t="s">
        <v>620</v>
      </c>
      <c r="C827" s="92"/>
      <c r="D827" s="78"/>
      <c r="E827" s="78">
        <f t="shared" ref="E827:U828" si="1291">E828</f>
        <v>1.6</v>
      </c>
      <c r="F827" s="78">
        <f t="shared" si="1291"/>
        <v>166</v>
      </c>
      <c r="G827" s="78">
        <f t="shared" si="1291"/>
        <v>0</v>
      </c>
      <c r="H827" s="78">
        <f t="shared" si="1291"/>
        <v>166</v>
      </c>
      <c r="I827" s="78">
        <f t="shared" si="1291"/>
        <v>1800</v>
      </c>
      <c r="J827" s="78">
        <f t="shared" si="1291"/>
        <v>1800</v>
      </c>
      <c r="K827" s="78">
        <f t="shared" si="1291"/>
        <v>1800</v>
      </c>
      <c r="L827" s="297">
        <f t="shared" si="1291"/>
        <v>1625</v>
      </c>
      <c r="M827" s="297">
        <f t="shared" si="1291"/>
        <v>557</v>
      </c>
      <c r="N827" s="297">
        <f t="shared" si="1291"/>
        <v>357</v>
      </c>
      <c r="O827" s="297">
        <f t="shared" si="1291"/>
        <v>357</v>
      </c>
      <c r="P827" s="297">
        <f t="shared" si="1291"/>
        <v>354</v>
      </c>
      <c r="Q827" s="117">
        <f t="shared" si="1241"/>
        <v>1625</v>
      </c>
      <c r="R827" s="117">
        <f t="shared" si="1242"/>
        <v>0</v>
      </c>
      <c r="S827" s="297">
        <f t="shared" si="1291"/>
        <v>3143</v>
      </c>
      <c r="T827" s="297">
        <f t="shared" si="1291"/>
        <v>0</v>
      </c>
      <c r="U827" s="297">
        <f t="shared" si="1291"/>
        <v>0</v>
      </c>
    </row>
    <row r="828" spans="1:21" ht="15.75" customHeight="1">
      <c r="A828" s="34"/>
      <c r="B828" s="33" t="s">
        <v>165</v>
      </c>
      <c r="C828" s="99"/>
      <c r="D828" s="68"/>
      <c r="E828" s="66">
        <f t="shared" si="1291"/>
        <v>1.6</v>
      </c>
      <c r="F828" s="66">
        <f t="shared" si="1291"/>
        <v>166</v>
      </c>
      <c r="G828" s="66">
        <f t="shared" si="1291"/>
        <v>0</v>
      </c>
      <c r="H828" s="66">
        <f t="shared" si="1291"/>
        <v>166</v>
      </c>
      <c r="I828" s="66">
        <f t="shared" si="1291"/>
        <v>1800</v>
      </c>
      <c r="J828" s="66">
        <f t="shared" si="1291"/>
        <v>1800</v>
      </c>
      <c r="K828" s="66">
        <f t="shared" si="1291"/>
        <v>1800</v>
      </c>
      <c r="L828" s="288">
        <f t="shared" si="1291"/>
        <v>1625</v>
      </c>
      <c r="M828" s="288">
        <f t="shared" si="1291"/>
        <v>557</v>
      </c>
      <c r="N828" s="288">
        <f t="shared" si="1291"/>
        <v>357</v>
      </c>
      <c r="O828" s="288">
        <f t="shared" si="1291"/>
        <v>357</v>
      </c>
      <c r="P828" s="288">
        <f t="shared" si="1291"/>
        <v>354</v>
      </c>
      <c r="Q828" s="117">
        <f t="shared" si="1241"/>
        <v>1625</v>
      </c>
      <c r="R828" s="117">
        <f t="shared" si="1242"/>
        <v>0</v>
      </c>
      <c r="S828" s="288">
        <f t="shared" si="1291"/>
        <v>3143</v>
      </c>
      <c r="T828" s="288">
        <f t="shared" si="1291"/>
        <v>0</v>
      </c>
      <c r="U828" s="288">
        <f t="shared" si="1291"/>
        <v>0</v>
      </c>
    </row>
    <row r="829" spans="1:21" ht="15.75" customHeight="1">
      <c r="A829" s="34"/>
      <c r="B829" s="48" t="s">
        <v>617</v>
      </c>
      <c r="C829" s="12">
        <v>58</v>
      </c>
      <c r="D829" s="68"/>
      <c r="E829" s="66">
        <f t="shared" ref="E829:F829" si="1292">E830+E831+E832</f>
        <v>1.6</v>
      </c>
      <c r="F829" s="66">
        <f t="shared" si="1292"/>
        <v>166</v>
      </c>
      <c r="G829" s="66">
        <f t="shared" ref="G829:U829" si="1293">G830+G831+G832</f>
        <v>0</v>
      </c>
      <c r="H829" s="66">
        <f t="shared" si="1293"/>
        <v>166</v>
      </c>
      <c r="I829" s="66">
        <f t="shared" si="1293"/>
        <v>1800</v>
      </c>
      <c r="J829" s="66">
        <f t="shared" si="1293"/>
        <v>1800</v>
      </c>
      <c r="K829" s="66">
        <f t="shared" ref="K829:L829" si="1294">K830+K831+K832</f>
        <v>1800</v>
      </c>
      <c r="L829" s="288">
        <f t="shared" si="1294"/>
        <v>1625</v>
      </c>
      <c r="M829" s="288">
        <f t="shared" ref="M829:P829" si="1295">M830+M831+M832</f>
        <v>557</v>
      </c>
      <c r="N829" s="288">
        <f t="shared" si="1295"/>
        <v>357</v>
      </c>
      <c r="O829" s="288">
        <f t="shared" si="1295"/>
        <v>357</v>
      </c>
      <c r="P829" s="288">
        <f t="shared" si="1295"/>
        <v>354</v>
      </c>
      <c r="Q829" s="117">
        <f t="shared" si="1241"/>
        <v>1625</v>
      </c>
      <c r="R829" s="117">
        <f t="shared" si="1242"/>
        <v>0</v>
      </c>
      <c r="S829" s="288">
        <f t="shared" si="1293"/>
        <v>3143</v>
      </c>
      <c r="T829" s="288">
        <f t="shared" si="1293"/>
        <v>0</v>
      </c>
      <c r="U829" s="288">
        <f t="shared" si="1293"/>
        <v>0</v>
      </c>
    </row>
    <row r="830" spans="1:21" ht="15.75" customHeight="1">
      <c r="A830" s="34"/>
      <c r="B830" s="21" t="s">
        <v>477</v>
      </c>
      <c r="C830" s="12" t="s">
        <v>478</v>
      </c>
      <c r="D830" s="68"/>
      <c r="E830" s="197">
        <v>0.45</v>
      </c>
      <c r="F830" s="68">
        <v>2</v>
      </c>
      <c r="G830" s="68"/>
      <c r="H830" s="68">
        <v>2</v>
      </c>
      <c r="I830" s="197">
        <v>407</v>
      </c>
      <c r="J830" s="197">
        <v>407</v>
      </c>
      <c r="K830" s="197">
        <v>407</v>
      </c>
      <c r="L830" s="282">
        <v>407</v>
      </c>
      <c r="M830" s="282">
        <v>102</v>
      </c>
      <c r="N830" s="282">
        <v>102</v>
      </c>
      <c r="O830" s="282">
        <v>102</v>
      </c>
      <c r="P830" s="282">
        <v>101</v>
      </c>
      <c r="Q830" s="117">
        <f t="shared" si="1241"/>
        <v>407</v>
      </c>
      <c r="R830" s="117">
        <f t="shared" si="1242"/>
        <v>0</v>
      </c>
      <c r="S830" s="282">
        <v>898</v>
      </c>
      <c r="T830" s="282"/>
      <c r="U830" s="282"/>
    </row>
    <row r="831" spans="1:21" ht="15" customHeight="1">
      <c r="A831" s="34"/>
      <c r="B831" s="21" t="s">
        <v>479</v>
      </c>
      <c r="C831" s="12" t="s">
        <v>447</v>
      </c>
      <c r="D831" s="68"/>
      <c r="E831" s="197">
        <v>1.1200000000000001</v>
      </c>
      <c r="F831" s="68">
        <v>4</v>
      </c>
      <c r="G831" s="68"/>
      <c r="H831" s="68">
        <v>4</v>
      </c>
      <c r="I831" s="197">
        <v>1018</v>
      </c>
      <c r="J831" s="197">
        <v>1018</v>
      </c>
      <c r="K831" s="197">
        <v>1018</v>
      </c>
      <c r="L831" s="282">
        <v>1018</v>
      </c>
      <c r="M831" s="282">
        <v>255</v>
      </c>
      <c r="N831" s="282">
        <v>255</v>
      </c>
      <c r="O831" s="282">
        <v>255</v>
      </c>
      <c r="P831" s="282">
        <v>253</v>
      </c>
      <c r="Q831" s="117">
        <f t="shared" si="1241"/>
        <v>1018</v>
      </c>
      <c r="R831" s="117">
        <f t="shared" si="1242"/>
        <v>0</v>
      </c>
      <c r="S831" s="282">
        <v>2245</v>
      </c>
      <c r="T831" s="282"/>
      <c r="U831" s="282"/>
    </row>
    <row r="832" spans="1:21" ht="15" customHeight="1">
      <c r="A832" s="34"/>
      <c r="B832" s="21" t="s">
        <v>480</v>
      </c>
      <c r="C832" s="12" t="s">
        <v>448</v>
      </c>
      <c r="D832" s="68"/>
      <c r="E832" s="197">
        <v>0.03</v>
      </c>
      <c r="F832" s="68">
        <v>160</v>
      </c>
      <c r="G832" s="68"/>
      <c r="H832" s="68">
        <v>160</v>
      </c>
      <c r="I832" s="197">
        <v>375</v>
      </c>
      <c r="J832" s="197">
        <v>375</v>
      </c>
      <c r="K832" s="197">
        <v>375</v>
      </c>
      <c r="L832" s="282">
        <v>200</v>
      </c>
      <c r="M832" s="282">
        <v>200</v>
      </c>
      <c r="N832" s="282"/>
      <c r="O832" s="282"/>
      <c r="P832" s="282"/>
      <c r="Q832" s="117">
        <f t="shared" si="1241"/>
        <v>200</v>
      </c>
      <c r="R832" s="117">
        <f t="shared" si="1242"/>
        <v>0</v>
      </c>
      <c r="S832" s="282">
        <v>0</v>
      </c>
      <c r="T832" s="282"/>
      <c r="U832" s="282"/>
    </row>
    <row r="833" spans="1:21" ht="22.5" customHeight="1">
      <c r="A833" s="143" t="s">
        <v>342</v>
      </c>
      <c r="B833" s="144" t="s">
        <v>580</v>
      </c>
      <c r="C833" s="145" t="s">
        <v>343</v>
      </c>
      <c r="D833" s="73">
        <f t="shared" ref="D833:U833" si="1296">D841+D848+D855+D877+D896+D884+D863+D870+D889</f>
        <v>42135</v>
      </c>
      <c r="E833" s="73">
        <f t="shared" ref="E833:F833" si="1297">E841+E848+E855+E877+E896+E884+E863+E870+E889</f>
        <v>44433</v>
      </c>
      <c r="F833" s="73">
        <f t="shared" si="1297"/>
        <v>56130</v>
      </c>
      <c r="G833" s="73">
        <f t="shared" si="1296"/>
        <v>49695</v>
      </c>
      <c r="H833" s="73">
        <f t="shared" si="1296"/>
        <v>56130</v>
      </c>
      <c r="I833" s="73">
        <f t="shared" si="1296"/>
        <v>51320</v>
      </c>
      <c r="J833" s="73">
        <f t="shared" si="1296"/>
        <v>44302</v>
      </c>
      <c r="K833" s="73">
        <f t="shared" ref="K833:L833" si="1298">K841+K848+K855+K877+K896+K884+K863+K870+K889</f>
        <v>50753</v>
      </c>
      <c r="L833" s="292">
        <f t="shared" si="1298"/>
        <v>37550</v>
      </c>
      <c r="M833" s="292">
        <f t="shared" ref="M833:P833" si="1299">M841+M848+M855+M877+M896+M884+M863+M870+M889</f>
        <v>11459</v>
      </c>
      <c r="N833" s="292">
        <f t="shared" si="1299"/>
        <v>11285</v>
      </c>
      <c r="O833" s="292">
        <f t="shared" si="1299"/>
        <v>10815</v>
      </c>
      <c r="P833" s="292">
        <f t="shared" si="1299"/>
        <v>3991</v>
      </c>
      <c r="Q833" s="117">
        <f t="shared" si="1241"/>
        <v>37550</v>
      </c>
      <c r="R833" s="117">
        <f t="shared" si="1242"/>
        <v>0</v>
      </c>
      <c r="S833" s="292">
        <f t="shared" si="1296"/>
        <v>37550</v>
      </c>
      <c r="T833" s="292">
        <f t="shared" si="1296"/>
        <v>37550</v>
      </c>
      <c r="U833" s="292">
        <f t="shared" si="1296"/>
        <v>37550</v>
      </c>
    </row>
    <row r="834" spans="1:21" ht="14.25">
      <c r="A834" s="143"/>
      <c r="B834" s="146" t="s">
        <v>153</v>
      </c>
      <c r="C834" s="145"/>
      <c r="D834" s="73">
        <f t="shared" ref="D834:U834" si="1300">D842+D849+D856+D878+D897+D885+D864+D871+D890</f>
        <v>41534</v>
      </c>
      <c r="E834" s="73">
        <f t="shared" ref="E834:F834" si="1301">E842+E849+E856+E878+E897+E885+E864+E871+E890</f>
        <v>43891</v>
      </c>
      <c r="F834" s="73">
        <f t="shared" si="1301"/>
        <v>55523.9</v>
      </c>
      <c r="G834" s="73">
        <f t="shared" si="1300"/>
        <v>49161</v>
      </c>
      <c r="H834" s="73">
        <f t="shared" si="1300"/>
        <v>55523.9</v>
      </c>
      <c r="I834" s="73">
        <f t="shared" si="1300"/>
        <v>51132</v>
      </c>
      <c r="J834" s="73">
        <f t="shared" si="1300"/>
        <v>44242</v>
      </c>
      <c r="K834" s="73">
        <f t="shared" ref="K834:L834" si="1302">K842+K849+K856+K878+K897+K885+K864+K871+K890</f>
        <v>50565</v>
      </c>
      <c r="L834" s="292">
        <f t="shared" si="1302"/>
        <v>37550</v>
      </c>
      <c r="M834" s="292">
        <f t="shared" ref="M834:P834" si="1303">M842+M849+M856+M878+M897+M885+M864+M871+M890</f>
        <v>11459</v>
      </c>
      <c r="N834" s="292">
        <f t="shared" si="1303"/>
        <v>11285</v>
      </c>
      <c r="O834" s="292">
        <f t="shared" si="1303"/>
        <v>10815</v>
      </c>
      <c r="P834" s="292">
        <f t="shared" si="1303"/>
        <v>3991</v>
      </c>
      <c r="Q834" s="117">
        <f t="shared" si="1241"/>
        <v>37550</v>
      </c>
      <c r="R834" s="117">
        <f t="shared" si="1242"/>
        <v>0</v>
      </c>
      <c r="S834" s="292">
        <f t="shared" si="1300"/>
        <v>37550</v>
      </c>
      <c r="T834" s="292">
        <f t="shared" si="1300"/>
        <v>37550</v>
      </c>
      <c r="U834" s="292">
        <f t="shared" si="1300"/>
        <v>37550</v>
      </c>
    </row>
    <row r="835" spans="1:21" ht="14.25">
      <c r="A835" s="143"/>
      <c r="B835" s="147" t="s">
        <v>154</v>
      </c>
      <c r="C835" s="148">
        <v>1</v>
      </c>
      <c r="D835" s="73">
        <f t="shared" ref="D835:U835" si="1304">D843+D850+D857+D879+D898+D886+D865+D872+D891</f>
        <v>41534</v>
      </c>
      <c r="E835" s="73">
        <f t="shared" ref="E835:F835" si="1305">E843+E850+E857+E879+E898+E886+E865+E872+E891</f>
        <v>43891</v>
      </c>
      <c r="F835" s="73">
        <f t="shared" si="1305"/>
        <v>55523.9</v>
      </c>
      <c r="G835" s="73">
        <f t="shared" si="1304"/>
        <v>49161</v>
      </c>
      <c r="H835" s="73">
        <f t="shared" si="1304"/>
        <v>55523.9</v>
      </c>
      <c r="I835" s="73">
        <f t="shared" si="1304"/>
        <v>51132</v>
      </c>
      <c r="J835" s="73">
        <f t="shared" si="1304"/>
        <v>44242</v>
      </c>
      <c r="K835" s="73">
        <f t="shared" ref="K835:L835" si="1306">K843+K850+K857+K879+K898+K886+K865+K872+K891</f>
        <v>50565</v>
      </c>
      <c r="L835" s="292">
        <f t="shared" si="1306"/>
        <v>37550</v>
      </c>
      <c r="M835" s="292">
        <f t="shared" ref="M835:P835" si="1307">M843+M850+M857+M879+M898+M886+M865+M872+M891</f>
        <v>11459</v>
      </c>
      <c r="N835" s="292">
        <f t="shared" si="1307"/>
        <v>11285</v>
      </c>
      <c r="O835" s="292">
        <f t="shared" si="1307"/>
        <v>10815</v>
      </c>
      <c r="P835" s="292">
        <f t="shared" si="1307"/>
        <v>3991</v>
      </c>
      <c r="Q835" s="117">
        <f t="shared" si="1241"/>
        <v>37550</v>
      </c>
      <c r="R835" s="117">
        <f t="shared" si="1242"/>
        <v>0</v>
      </c>
      <c r="S835" s="292">
        <f t="shared" si="1304"/>
        <v>37550</v>
      </c>
      <c r="T835" s="292">
        <f t="shared" si="1304"/>
        <v>37550</v>
      </c>
      <c r="U835" s="292">
        <f t="shared" si="1304"/>
        <v>37550</v>
      </c>
    </row>
    <row r="836" spans="1:21" ht="14.25">
      <c r="A836" s="143"/>
      <c r="B836" s="147" t="s">
        <v>155</v>
      </c>
      <c r="C836" s="148">
        <v>10</v>
      </c>
      <c r="D836" s="73">
        <f t="shared" ref="D836:U836" si="1308">D844+D851+D858+D880+D899+D887+D866+D873+D892</f>
        <v>33651</v>
      </c>
      <c r="E836" s="73">
        <f t="shared" ref="E836:F836" si="1309">E844+E851+E858+E880+E899+E887+E866+E873+E892</f>
        <v>35970</v>
      </c>
      <c r="F836" s="73">
        <f t="shared" si="1309"/>
        <v>46702</v>
      </c>
      <c r="G836" s="73">
        <f t="shared" si="1308"/>
        <v>40686</v>
      </c>
      <c r="H836" s="73">
        <f t="shared" si="1308"/>
        <v>46702</v>
      </c>
      <c r="I836" s="73">
        <f t="shared" si="1308"/>
        <v>41305</v>
      </c>
      <c r="J836" s="73">
        <f t="shared" si="1308"/>
        <v>36542</v>
      </c>
      <c r="K836" s="73">
        <f t="shared" ref="K836:L836" si="1310">K844+K851+K858+K880+K899+K887+K866+K873+K892</f>
        <v>40738</v>
      </c>
      <c r="L836" s="292">
        <f t="shared" si="1310"/>
        <v>31450</v>
      </c>
      <c r="M836" s="292">
        <f t="shared" ref="M836:P836" si="1311">M844+M851+M858+M880+M899+M887+M866+M873+M892</f>
        <v>9810</v>
      </c>
      <c r="N836" s="292">
        <f t="shared" si="1311"/>
        <v>9690</v>
      </c>
      <c r="O836" s="292">
        <f t="shared" si="1311"/>
        <v>9270</v>
      </c>
      <c r="P836" s="292">
        <f t="shared" si="1311"/>
        <v>2680</v>
      </c>
      <c r="Q836" s="117">
        <f t="shared" si="1241"/>
        <v>31450</v>
      </c>
      <c r="R836" s="117">
        <f t="shared" si="1242"/>
        <v>0</v>
      </c>
      <c r="S836" s="292">
        <f t="shared" si="1308"/>
        <v>31450</v>
      </c>
      <c r="T836" s="292">
        <f t="shared" si="1308"/>
        <v>31450</v>
      </c>
      <c r="U836" s="292">
        <f t="shared" si="1308"/>
        <v>31450</v>
      </c>
    </row>
    <row r="837" spans="1:21" ht="14.25">
      <c r="A837" s="143"/>
      <c r="B837" s="147" t="s">
        <v>588</v>
      </c>
      <c r="C837" s="148">
        <v>20</v>
      </c>
      <c r="D837" s="73">
        <f t="shared" ref="D837:U837" si="1312">D845+D852+D859+D881+D900+D888+D867+D874+D893</f>
        <v>7883</v>
      </c>
      <c r="E837" s="73">
        <f t="shared" ref="E837:F837" si="1313">E845+E852+E859+E881+E900+E888+E867+E874+E893</f>
        <v>7921</v>
      </c>
      <c r="F837" s="73">
        <f t="shared" si="1313"/>
        <v>8821.9</v>
      </c>
      <c r="G837" s="73">
        <f t="shared" si="1312"/>
        <v>8475</v>
      </c>
      <c r="H837" s="73">
        <f t="shared" si="1312"/>
        <v>8821.9</v>
      </c>
      <c r="I837" s="73">
        <f t="shared" si="1312"/>
        <v>9827</v>
      </c>
      <c r="J837" s="73">
        <f t="shared" si="1312"/>
        <v>7700</v>
      </c>
      <c r="K837" s="73">
        <f t="shared" ref="K837:L837" si="1314">K845+K852+K859+K881+K900+K888+K867+K874+K893</f>
        <v>9827</v>
      </c>
      <c r="L837" s="292">
        <f t="shared" si="1314"/>
        <v>6100</v>
      </c>
      <c r="M837" s="292">
        <f t="shared" ref="M837:P837" si="1315">M845+M852+M859+M881+M900+M888+M867+M874+M893</f>
        <v>1649</v>
      </c>
      <c r="N837" s="292">
        <f t="shared" si="1315"/>
        <v>1595</v>
      </c>
      <c r="O837" s="292">
        <f t="shared" si="1315"/>
        <v>1545</v>
      </c>
      <c r="P837" s="292">
        <f t="shared" si="1315"/>
        <v>1311</v>
      </c>
      <c r="Q837" s="117">
        <f t="shared" si="1241"/>
        <v>6100</v>
      </c>
      <c r="R837" s="117">
        <f t="shared" si="1242"/>
        <v>0</v>
      </c>
      <c r="S837" s="292">
        <f t="shared" si="1312"/>
        <v>6100</v>
      </c>
      <c r="T837" s="292">
        <f t="shared" si="1312"/>
        <v>6100</v>
      </c>
      <c r="U837" s="292">
        <f t="shared" si="1312"/>
        <v>6100</v>
      </c>
    </row>
    <row r="838" spans="1:21" ht="45">
      <c r="A838" s="143"/>
      <c r="B838" s="206" t="s">
        <v>627</v>
      </c>
      <c r="C838" s="145" t="s">
        <v>252</v>
      </c>
      <c r="D838" s="73"/>
      <c r="E838" s="73">
        <f t="shared" ref="E838:F838" si="1316">E860</f>
        <v>0</v>
      </c>
      <c r="F838" s="73">
        <f t="shared" si="1316"/>
        <v>0</v>
      </c>
      <c r="G838" s="73">
        <f>G860</f>
        <v>0</v>
      </c>
      <c r="H838" s="73">
        <f t="shared" ref="H838:U838" si="1317">H860</f>
        <v>0</v>
      </c>
      <c r="I838" s="73">
        <f t="shared" si="1317"/>
        <v>0</v>
      </c>
      <c r="J838" s="73">
        <f>J860</f>
        <v>0</v>
      </c>
      <c r="K838" s="73">
        <f t="shared" ref="K838" si="1318">K860</f>
        <v>0</v>
      </c>
      <c r="L838" s="292">
        <f>L860</f>
        <v>0</v>
      </c>
      <c r="M838" s="292">
        <f>M860</f>
        <v>0</v>
      </c>
      <c r="N838" s="292">
        <f>N860</f>
        <v>0</v>
      </c>
      <c r="O838" s="292">
        <f>O860</f>
        <v>0</v>
      </c>
      <c r="P838" s="292">
        <f>P860</f>
        <v>0</v>
      </c>
      <c r="Q838" s="117">
        <f t="shared" si="1241"/>
        <v>0</v>
      </c>
      <c r="R838" s="117">
        <f t="shared" si="1242"/>
        <v>0</v>
      </c>
      <c r="S838" s="292">
        <f t="shared" si="1317"/>
        <v>0</v>
      </c>
      <c r="T838" s="292">
        <f t="shared" si="1317"/>
        <v>0</v>
      </c>
      <c r="U838" s="292">
        <f t="shared" si="1317"/>
        <v>0</v>
      </c>
    </row>
    <row r="839" spans="1:21" ht="14.25">
      <c r="A839" s="143"/>
      <c r="B839" s="147" t="s">
        <v>165</v>
      </c>
      <c r="C839" s="148"/>
      <c r="D839" s="73">
        <f t="shared" ref="D839:U839" si="1319">D846+D853+D861+D882+D901+D875+D894+D868</f>
        <v>601</v>
      </c>
      <c r="E839" s="73">
        <f t="shared" ref="E839:F839" si="1320">E846+E853+E861+E882+E901+E875+E894+E868</f>
        <v>542</v>
      </c>
      <c r="F839" s="73">
        <f t="shared" si="1320"/>
        <v>606.1</v>
      </c>
      <c r="G839" s="73">
        <f t="shared" si="1319"/>
        <v>534</v>
      </c>
      <c r="H839" s="73">
        <f t="shared" si="1319"/>
        <v>606.1</v>
      </c>
      <c r="I839" s="73">
        <f t="shared" si="1319"/>
        <v>188</v>
      </c>
      <c r="J839" s="73">
        <f t="shared" si="1319"/>
        <v>60</v>
      </c>
      <c r="K839" s="73">
        <f t="shared" ref="K839:L839" si="1321">K846+K853+K861+K882+K901+K875+K894+K868</f>
        <v>188</v>
      </c>
      <c r="L839" s="292">
        <f t="shared" si="1321"/>
        <v>0</v>
      </c>
      <c r="M839" s="292">
        <f t="shared" ref="M839:P839" si="1322">M846+M853+M861+M882+M901+M875+M894+M868</f>
        <v>0</v>
      </c>
      <c r="N839" s="292">
        <f t="shared" si="1322"/>
        <v>0</v>
      </c>
      <c r="O839" s="292">
        <f t="shared" si="1322"/>
        <v>0</v>
      </c>
      <c r="P839" s="292">
        <f t="shared" si="1322"/>
        <v>0</v>
      </c>
      <c r="Q839" s="117">
        <f t="shared" si="1241"/>
        <v>0</v>
      </c>
      <c r="R839" s="117">
        <f t="shared" si="1242"/>
        <v>0</v>
      </c>
      <c r="S839" s="292">
        <f t="shared" si="1319"/>
        <v>0</v>
      </c>
      <c r="T839" s="292">
        <f t="shared" si="1319"/>
        <v>0</v>
      </c>
      <c r="U839" s="292">
        <f t="shared" si="1319"/>
        <v>0</v>
      </c>
    </row>
    <row r="840" spans="1:21" ht="14.25">
      <c r="A840" s="143"/>
      <c r="B840" s="147" t="s">
        <v>194</v>
      </c>
      <c r="C840" s="148">
        <v>70</v>
      </c>
      <c r="D840" s="73">
        <f t="shared" ref="D840:U840" si="1323">D847+D854+D862+D883+D902+D876+D895+D869</f>
        <v>601</v>
      </c>
      <c r="E840" s="73">
        <f t="shared" ref="E840:F840" si="1324">E847+E854+E862+E883+E902+E876+E895+E869</f>
        <v>542</v>
      </c>
      <c r="F840" s="73">
        <f t="shared" si="1324"/>
        <v>606.1</v>
      </c>
      <c r="G840" s="73">
        <f t="shared" si="1323"/>
        <v>534</v>
      </c>
      <c r="H840" s="73">
        <f t="shared" si="1323"/>
        <v>606.1</v>
      </c>
      <c r="I840" s="73">
        <f t="shared" si="1323"/>
        <v>188</v>
      </c>
      <c r="J840" s="73">
        <f t="shared" si="1323"/>
        <v>60</v>
      </c>
      <c r="K840" s="73">
        <f t="shared" ref="K840:L840" si="1325">K847+K854+K862+K883+K902+K876+K895+K869</f>
        <v>188</v>
      </c>
      <c r="L840" s="292">
        <f t="shared" si="1325"/>
        <v>0</v>
      </c>
      <c r="M840" s="292">
        <f t="shared" ref="M840:P840" si="1326">M847+M854+M862+M883+M902+M876+M895+M869</f>
        <v>0</v>
      </c>
      <c r="N840" s="292">
        <f t="shared" si="1326"/>
        <v>0</v>
      </c>
      <c r="O840" s="292">
        <f t="shared" si="1326"/>
        <v>0</v>
      </c>
      <c r="P840" s="292">
        <f t="shared" si="1326"/>
        <v>0</v>
      </c>
      <c r="Q840" s="117">
        <f t="shared" si="1241"/>
        <v>0</v>
      </c>
      <c r="R840" s="117">
        <f t="shared" si="1242"/>
        <v>0</v>
      </c>
      <c r="S840" s="292">
        <f t="shared" si="1323"/>
        <v>0</v>
      </c>
      <c r="T840" s="292">
        <f t="shared" si="1323"/>
        <v>0</v>
      </c>
      <c r="U840" s="292">
        <f t="shared" si="1323"/>
        <v>0</v>
      </c>
    </row>
    <row r="841" spans="1:21" ht="28.5">
      <c r="A841" s="34" t="s">
        <v>344</v>
      </c>
      <c r="B841" s="50" t="s">
        <v>345</v>
      </c>
      <c r="C841" s="84" t="s">
        <v>346</v>
      </c>
      <c r="D841" s="73">
        <f t="shared" ref="D841:U841" si="1327">D842+D846</f>
        <v>11649</v>
      </c>
      <c r="E841" s="73">
        <f t="shared" ref="E841:F841" si="1328">E842+E846</f>
        <v>12153</v>
      </c>
      <c r="F841" s="73">
        <f t="shared" si="1328"/>
        <v>15843</v>
      </c>
      <c r="G841" s="73">
        <f t="shared" si="1327"/>
        <v>12700</v>
      </c>
      <c r="H841" s="73">
        <f t="shared" si="1327"/>
        <v>15843</v>
      </c>
      <c r="I841" s="73">
        <f t="shared" si="1327"/>
        <v>12300</v>
      </c>
      <c r="J841" s="73">
        <f t="shared" si="1327"/>
        <v>12100</v>
      </c>
      <c r="K841" s="73">
        <f t="shared" ref="K841:L841" si="1329">K842+K846</f>
        <v>12100</v>
      </c>
      <c r="L841" s="292">
        <f t="shared" si="1329"/>
        <v>9500</v>
      </c>
      <c r="M841" s="292">
        <f t="shared" ref="M841:P841" si="1330">M842+M846</f>
        <v>3075</v>
      </c>
      <c r="N841" s="292">
        <f t="shared" si="1330"/>
        <v>3075</v>
      </c>
      <c r="O841" s="292">
        <f t="shared" si="1330"/>
        <v>2975</v>
      </c>
      <c r="P841" s="292">
        <f t="shared" si="1330"/>
        <v>375</v>
      </c>
      <c r="Q841" s="117">
        <f t="shared" si="1241"/>
        <v>9500</v>
      </c>
      <c r="R841" s="117">
        <f t="shared" si="1242"/>
        <v>0</v>
      </c>
      <c r="S841" s="292">
        <f t="shared" si="1327"/>
        <v>9500</v>
      </c>
      <c r="T841" s="292">
        <f t="shared" si="1327"/>
        <v>9500</v>
      </c>
      <c r="U841" s="292">
        <f t="shared" si="1327"/>
        <v>9500</v>
      </c>
    </row>
    <row r="842" spans="1:21" ht="14.25">
      <c r="A842" s="34"/>
      <c r="B842" s="24" t="s">
        <v>153</v>
      </c>
      <c r="C842" s="12"/>
      <c r="D842" s="73">
        <f t="shared" ref="D842:U842" si="1331">D843</f>
        <v>11643</v>
      </c>
      <c r="E842" s="73">
        <f t="shared" si="1331"/>
        <v>12153</v>
      </c>
      <c r="F842" s="73">
        <f t="shared" si="1331"/>
        <v>15843</v>
      </c>
      <c r="G842" s="73">
        <f t="shared" si="1331"/>
        <v>12700</v>
      </c>
      <c r="H842" s="73">
        <f t="shared" si="1331"/>
        <v>15843</v>
      </c>
      <c r="I842" s="73">
        <f t="shared" si="1331"/>
        <v>12300</v>
      </c>
      <c r="J842" s="73">
        <f t="shared" si="1331"/>
        <v>12100</v>
      </c>
      <c r="K842" s="73">
        <f t="shared" si="1331"/>
        <v>12100</v>
      </c>
      <c r="L842" s="292">
        <f t="shared" si="1331"/>
        <v>9500</v>
      </c>
      <c r="M842" s="292">
        <f t="shared" si="1331"/>
        <v>3075</v>
      </c>
      <c r="N842" s="292">
        <f t="shared" si="1331"/>
        <v>3075</v>
      </c>
      <c r="O842" s="292">
        <f t="shared" si="1331"/>
        <v>2975</v>
      </c>
      <c r="P842" s="292">
        <f t="shared" si="1331"/>
        <v>375</v>
      </c>
      <c r="Q842" s="117">
        <f t="shared" si="1241"/>
        <v>9500</v>
      </c>
      <c r="R842" s="117">
        <f t="shared" si="1242"/>
        <v>0</v>
      </c>
      <c r="S842" s="292">
        <f t="shared" si="1331"/>
        <v>9500</v>
      </c>
      <c r="T842" s="292">
        <f t="shared" si="1331"/>
        <v>9500</v>
      </c>
      <c r="U842" s="292">
        <f t="shared" si="1331"/>
        <v>9500</v>
      </c>
    </row>
    <row r="843" spans="1:21" ht="15">
      <c r="A843" s="34"/>
      <c r="B843" s="33" t="s">
        <v>154</v>
      </c>
      <c r="C843" s="12">
        <v>1</v>
      </c>
      <c r="D843" s="69">
        <f t="shared" ref="D843:U843" si="1332">D844+D845</f>
        <v>11643</v>
      </c>
      <c r="E843" s="69">
        <f t="shared" ref="E843:F843" si="1333">E844+E845</f>
        <v>12153</v>
      </c>
      <c r="F843" s="69">
        <f t="shared" si="1333"/>
        <v>15843</v>
      </c>
      <c r="G843" s="69">
        <f t="shared" si="1332"/>
        <v>12700</v>
      </c>
      <c r="H843" s="69">
        <f t="shared" si="1332"/>
        <v>15843</v>
      </c>
      <c r="I843" s="69">
        <f t="shared" si="1332"/>
        <v>12300</v>
      </c>
      <c r="J843" s="69">
        <f t="shared" si="1332"/>
        <v>12100</v>
      </c>
      <c r="K843" s="69">
        <f t="shared" ref="K843:L843" si="1334">K844+K845</f>
        <v>12100</v>
      </c>
      <c r="L843" s="283">
        <f t="shared" si="1334"/>
        <v>9500</v>
      </c>
      <c r="M843" s="283">
        <f t="shared" ref="M843:P843" si="1335">M844+M845</f>
        <v>3075</v>
      </c>
      <c r="N843" s="283">
        <f t="shared" si="1335"/>
        <v>3075</v>
      </c>
      <c r="O843" s="283">
        <f t="shared" si="1335"/>
        <v>2975</v>
      </c>
      <c r="P843" s="283">
        <f t="shared" si="1335"/>
        <v>375</v>
      </c>
      <c r="Q843" s="117">
        <f t="shared" si="1241"/>
        <v>9500</v>
      </c>
      <c r="R843" s="117">
        <f t="shared" si="1242"/>
        <v>0</v>
      </c>
      <c r="S843" s="283">
        <f t="shared" si="1332"/>
        <v>9500</v>
      </c>
      <c r="T843" s="283">
        <f t="shared" si="1332"/>
        <v>9500</v>
      </c>
      <c r="U843" s="283">
        <f t="shared" si="1332"/>
        <v>9500</v>
      </c>
    </row>
    <row r="844" spans="1:21" ht="15">
      <c r="A844" s="34"/>
      <c r="B844" s="33" t="s">
        <v>155</v>
      </c>
      <c r="C844" s="12">
        <v>10</v>
      </c>
      <c r="D844" s="68">
        <v>9841</v>
      </c>
      <c r="E844" s="197">
        <v>10214</v>
      </c>
      <c r="F844" s="68">
        <v>13811</v>
      </c>
      <c r="G844" s="68">
        <v>10800</v>
      </c>
      <c r="H844" s="68">
        <v>13811</v>
      </c>
      <c r="I844" s="197">
        <v>10200</v>
      </c>
      <c r="J844" s="197">
        <v>10200</v>
      </c>
      <c r="K844" s="197">
        <v>10000</v>
      </c>
      <c r="L844" s="282">
        <v>8000</v>
      </c>
      <c r="M844" s="282">
        <v>2700</v>
      </c>
      <c r="N844" s="282">
        <v>2700</v>
      </c>
      <c r="O844" s="282">
        <v>2600</v>
      </c>
      <c r="P844" s="282">
        <v>0</v>
      </c>
      <c r="Q844" s="117">
        <f t="shared" si="1241"/>
        <v>8000</v>
      </c>
      <c r="R844" s="117">
        <f t="shared" si="1242"/>
        <v>0</v>
      </c>
      <c r="S844" s="282">
        <v>8000</v>
      </c>
      <c r="T844" s="282">
        <v>8000</v>
      </c>
      <c r="U844" s="282">
        <v>8000</v>
      </c>
    </row>
    <row r="845" spans="1:21" ht="12.75" customHeight="1">
      <c r="A845" s="34"/>
      <c r="B845" s="33" t="s">
        <v>588</v>
      </c>
      <c r="C845" s="12">
        <v>20</v>
      </c>
      <c r="D845" s="68">
        <v>1802</v>
      </c>
      <c r="E845" s="197">
        <v>1939</v>
      </c>
      <c r="F845" s="68">
        <v>2032</v>
      </c>
      <c r="G845" s="68">
        <v>1900</v>
      </c>
      <c r="H845" s="68">
        <v>2032</v>
      </c>
      <c r="I845" s="197">
        <v>2100</v>
      </c>
      <c r="J845" s="197">
        <v>1900</v>
      </c>
      <c r="K845" s="197">
        <v>2100</v>
      </c>
      <c r="L845" s="282">
        <v>1500</v>
      </c>
      <c r="M845" s="282">
        <v>375</v>
      </c>
      <c r="N845" s="282">
        <v>375</v>
      </c>
      <c r="O845" s="282">
        <v>375</v>
      </c>
      <c r="P845" s="282">
        <v>375</v>
      </c>
      <c r="Q845" s="117">
        <f t="shared" ref="Q845:Q908" si="1336">M845+N845+O845+P845</f>
        <v>1500</v>
      </c>
      <c r="R845" s="117">
        <f t="shared" ref="R845:R908" si="1337">L845-Q845</f>
        <v>0</v>
      </c>
      <c r="S845" s="282">
        <v>1500</v>
      </c>
      <c r="T845" s="282">
        <v>1500</v>
      </c>
      <c r="U845" s="282">
        <v>1500</v>
      </c>
    </row>
    <row r="846" spans="1:21" ht="15" hidden="1" customHeight="1">
      <c r="A846" s="34"/>
      <c r="B846" s="26" t="s">
        <v>165</v>
      </c>
      <c r="C846" s="12"/>
      <c r="D846" s="69">
        <f t="shared" ref="D846:H846" si="1338">D847</f>
        <v>6</v>
      </c>
      <c r="E846" s="197"/>
      <c r="F846" s="69">
        <f t="shared" si="1338"/>
        <v>0</v>
      </c>
      <c r="G846" s="69">
        <f t="shared" si="1338"/>
        <v>0</v>
      </c>
      <c r="H846" s="69">
        <f t="shared" si="1338"/>
        <v>0</v>
      </c>
      <c r="I846" s="197"/>
      <c r="J846" s="197"/>
      <c r="K846" s="197"/>
      <c r="L846" s="282"/>
      <c r="M846" s="282"/>
      <c r="N846" s="282"/>
      <c r="O846" s="282"/>
      <c r="P846" s="282"/>
      <c r="Q846" s="117">
        <f t="shared" si="1336"/>
        <v>0</v>
      </c>
      <c r="R846" s="117">
        <f t="shared" si="1337"/>
        <v>0</v>
      </c>
      <c r="S846" s="282"/>
      <c r="T846" s="282"/>
      <c r="U846" s="282"/>
    </row>
    <row r="847" spans="1:21" ht="12" hidden="1" customHeight="1">
      <c r="A847" s="34"/>
      <c r="B847" s="33" t="s">
        <v>194</v>
      </c>
      <c r="C847" s="12">
        <v>70</v>
      </c>
      <c r="D847" s="68">
        <v>6</v>
      </c>
      <c r="E847" s="197"/>
      <c r="F847" s="68"/>
      <c r="G847" s="68"/>
      <c r="H847" s="68"/>
      <c r="I847" s="197"/>
      <c r="J847" s="197"/>
      <c r="K847" s="197"/>
      <c r="L847" s="282"/>
      <c r="M847" s="282"/>
      <c r="N847" s="282"/>
      <c r="O847" s="282"/>
      <c r="P847" s="282"/>
      <c r="Q847" s="117">
        <f t="shared" si="1336"/>
        <v>0</v>
      </c>
      <c r="R847" s="117">
        <f t="shared" si="1337"/>
        <v>0</v>
      </c>
      <c r="S847" s="282"/>
      <c r="T847" s="282"/>
      <c r="U847" s="282"/>
    </row>
    <row r="848" spans="1:21" ht="28.5" customHeight="1">
      <c r="A848" s="34" t="s">
        <v>347</v>
      </c>
      <c r="B848" s="50" t="s">
        <v>348</v>
      </c>
      <c r="C848" s="84" t="s">
        <v>349</v>
      </c>
      <c r="D848" s="73">
        <f t="shared" ref="D848:U848" si="1339">D849+D853</f>
        <v>6067</v>
      </c>
      <c r="E848" s="73">
        <f t="shared" ref="E848:F848" si="1340">E849+E853</f>
        <v>6876</v>
      </c>
      <c r="F848" s="73">
        <f t="shared" si="1340"/>
        <v>7497</v>
      </c>
      <c r="G848" s="73">
        <f t="shared" si="1339"/>
        <v>7400</v>
      </c>
      <c r="H848" s="73">
        <f t="shared" si="1339"/>
        <v>7497</v>
      </c>
      <c r="I848" s="73">
        <f t="shared" si="1339"/>
        <v>7267</v>
      </c>
      <c r="J848" s="73">
        <f t="shared" si="1339"/>
        <v>6342</v>
      </c>
      <c r="K848" s="73">
        <f t="shared" ref="K848:L848" si="1341">K849+K853</f>
        <v>7173</v>
      </c>
      <c r="L848" s="292">
        <f t="shared" si="1341"/>
        <v>5650</v>
      </c>
      <c r="M848" s="292">
        <f t="shared" ref="M848:P848" si="1342">M849+M853</f>
        <v>1680</v>
      </c>
      <c r="N848" s="292">
        <f t="shared" si="1342"/>
        <v>1605</v>
      </c>
      <c r="O848" s="292">
        <f t="shared" si="1342"/>
        <v>1575</v>
      </c>
      <c r="P848" s="292">
        <f t="shared" si="1342"/>
        <v>790</v>
      </c>
      <c r="Q848" s="117">
        <f t="shared" si="1336"/>
        <v>5650</v>
      </c>
      <c r="R848" s="117">
        <f t="shared" si="1337"/>
        <v>0</v>
      </c>
      <c r="S848" s="292">
        <f t="shared" si="1339"/>
        <v>5650</v>
      </c>
      <c r="T848" s="292">
        <f t="shared" si="1339"/>
        <v>5650</v>
      </c>
      <c r="U848" s="292">
        <f t="shared" si="1339"/>
        <v>5650</v>
      </c>
    </row>
    <row r="849" spans="1:21" ht="14.25">
      <c r="A849" s="34"/>
      <c r="B849" s="24" t="s">
        <v>153</v>
      </c>
      <c r="C849" s="12"/>
      <c r="D849" s="73">
        <f t="shared" ref="D849:U849" si="1343">D850</f>
        <v>5919</v>
      </c>
      <c r="E849" s="73">
        <f t="shared" si="1343"/>
        <v>6379</v>
      </c>
      <c r="F849" s="73">
        <f t="shared" si="1343"/>
        <v>6997</v>
      </c>
      <c r="G849" s="73">
        <f t="shared" si="1343"/>
        <v>6900</v>
      </c>
      <c r="H849" s="73">
        <f t="shared" si="1343"/>
        <v>6997</v>
      </c>
      <c r="I849" s="73">
        <f t="shared" si="1343"/>
        <v>7200</v>
      </c>
      <c r="J849" s="73">
        <f t="shared" si="1343"/>
        <v>6342</v>
      </c>
      <c r="K849" s="73">
        <f t="shared" si="1343"/>
        <v>7106</v>
      </c>
      <c r="L849" s="292">
        <f t="shared" si="1343"/>
        <v>5650</v>
      </c>
      <c r="M849" s="292">
        <f t="shared" si="1343"/>
        <v>1680</v>
      </c>
      <c r="N849" s="292">
        <f t="shared" si="1343"/>
        <v>1605</v>
      </c>
      <c r="O849" s="292">
        <f t="shared" si="1343"/>
        <v>1575</v>
      </c>
      <c r="P849" s="292">
        <f t="shared" si="1343"/>
        <v>790</v>
      </c>
      <c r="Q849" s="117">
        <f t="shared" si="1336"/>
        <v>5650</v>
      </c>
      <c r="R849" s="117">
        <f t="shared" si="1337"/>
        <v>0</v>
      </c>
      <c r="S849" s="292">
        <f t="shared" si="1343"/>
        <v>5650</v>
      </c>
      <c r="T849" s="292">
        <f t="shared" si="1343"/>
        <v>5650</v>
      </c>
      <c r="U849" s="292">
        <f t="shared" si="1343"/>
        <v>5650</v>
      </c>
    </row>
    <row r="850" spans="1:21" ht="15">
      <c r="A850" s="34"/>
      <c r="B850" s="33" t="s">
        <v>154</v>
      </c>
      <c r="C850" s="12">
        <v>1</v>
      </c>
      <c r="D850" s="69">
        <f t="shared" ref="D850:U850" si="1344">D851+D852</f>
        <v>5919</v>
      </c>
      <c r="E850" s="69">
        <f t="shared" ref="E850:F850" si="1345">E851+E852</f>
        <v>6379</v>
      </c>
      <c r="F850" s="69">
        <f t="shared" si="1345"/>
        <v>6997</v>
      </c>
      <c r="G850" s="69">
        <f t="shared" si="1344"/>
        <v>6900</v>
      </c>
      <c r="H850" s="69">
        <f t="shared" si="1344"/>
        <v>6997</v>
      </c>
      <c r="I850" s="69">
        <f t="shared" si="1344"/>
        <v>7200</v>
      </c>
      <c r="J850" s="69">
        <f t="shared" si="1344"/>
        <v>6342</v>
      </c>
      <c r="K850" s="69">
        <f t="shared" ref="K850:L850" si="1346">K851+K852</f>
        <v>7106</v>
      </c>
      <c r="L850" s="283">
        <f t="shared" si="1346"/>
        <v>5650</v>
      </c>
      <c r="M850" s="283">
        <f t="shared" ref="M850:P850" si="1347">M851+M852</f>
        <v>1680</v>
      </c>
      <c r="N850" s="283">
        <f t="shared" si="1347"/>
        <v>1605</v>
      </c>
      <c r="O850" s="283">
        <f t="shared" si="1347"/>
        <v>1575</v>
      </c>
      <c r="P850" s="283">
        <f t="shared" si="1347"/>
        <v>790</v>
      </c>
      <c r="Q850" s="117">
        <f t="shared" si="1336"/>
        <v>5650</v>
      </c>
      <c r="R850" s="117">
        <f t="shared" si="1337"/>
        <v>0</v>
      </c>
      <c r="S850" s="283">
        <f t="shared" si="1344"/>
        <v>5650</v>
      </c>
      <c r="T850" s="283">
        <f t="shared" si="1344"/>
        <v>5650</v>
      </c>
      <c r="U850" s="283">
        <f t="shared" si="1344"/>
        <v>5650</v>
      </c>
    </row>
    <row r="851" spans="1:21" ht="15">
      <c r="A851" s="34"/>
      <c r="B851" s="33" t="s">
        <v>155</v>
      </c>
      <c r="C851" s="12">
        <v>10</v>
      </c>
      <c r="D851" s="68">
        <v>4731</v>
      </c>
      <c r="E851" s="197">
        <v>5200</v>
      </c>
      <c r="F851" s="68">
        <v>5700</v>
      </c>
      <c r="G851" s="68">
        <v>5700</v>
      </c>
      <c r="H851" s="68">
        <v>5700</v>
      </c>
      <c r="I851" s="197">
        <v>5600</v>
      </c>
      <c r="J851" s="197">
        <f>5100+75+67</f>
        <v>5242</v>
      </c>
      <c r="K851" s="197">
        <v>5506</v>
      </c>
      <c r="L851" s="282">
        <v>4750</v>
      </c>
      <c r="M851" s="282">
        <f>1350+30</f>
        <v>1380</v>
      </c>
      <c r="N851" s="282">
        <f>1350+30</f>
        <v>1380</v>
      </c>
      <c r="O851" s="282">
        <v>1350</v>
      </c>
      <c r="P851" s="282">
        <f>700-30-30</f>
        <v>640</v>
      </c>
      <c r="Q851" s="117">
        <f t="shared" si="1336"/>
        <v>4750</v>
      </c>
      <c r="R851" s="117">
        <f t="shared" si="1337"/>
        <v>0</v>
      </c>
      <c r="S851" s="282">
        <v>4750</v>
      </c>
      <c r="T851" s="282">
        <v>4750</v>
      </c>
      <c r="U851" s="282">
        <v>4750</v>
      </c>
    </row>
    <row r="852" spans="1:21" ht="14.25" customHeight="1">
      <c r="A852" s="34"/>
      <c r="B852" s="33" t="s">
        <v>588</v>
      </c>
      <c r="C852" s="12">
        <v>20</v>
      </c>
      <c r="D852" s="68">
        <v>1188</v>
      </c>
      <c r="E852" s="197">
        <v>1179</v>
      </c>
      <c r="F852" s="68">
        <v>1297</v>
      </c>
      <c r="G852" s="68">
        <v>1200</v>
      </c>
      <c r="H852" s="68">
        <v>1297</v>
      </c>
      <c r="I852" s="197">
        <v>1600</v>
      </c>
      <c r="J852" s="197">
        <v>1100</v>
      </c>
      <c r="K852" s="197">
        <v>1600</v>
      </c>
      <c r="L852" s="282">
        <v>900</v>
      </c>
      <c r="M852" s="282">
        <v>300</v>
      </c>
      <c r="N852" s="282">
        <v>225</v>
      </c>
      <c r="O852" s="282">
        <v>225</v>
      </c>
      <c r="P852" s="282">
        <v>150</v>
      </c>
      <c r="Q852" s="117">
        <f t="shared" si="1336"/>
        <v>900</v>
      </c>
      <c r="R852" s="117">
        <f t="shared" si="1337"/>
        <v>0</v>
      </c>
      <c r="S852" s="282">
        <v>900</v>
      </c>
      <c r="T852" s="282">
        <v>900</v>
      </c>
      <c r="U852" s="282">
        <v>900</v>
      </c>
    </row>
    <row r="853" spans="1:21" ht="17.25" hidden="1" customHeight="1">
      <c r="A853" s="34"/>
      <c r="B853" s="26" t="s">
        <v>165</v>
      </c>
      <c r="C853" s="12"/>
      <c r="D853" s="69">
        <f t="shared" ref="D853:U853" si="1348">D854</f>
        <v>148</v>
      </c>
      <c r="E853" s="69">
        <f t="shared" si="1348"/>
        <v>497</v>
      </c>
      <c r="F853" s="69">
        <f t="shared" si="1348"/>
        <v>500</v>
      </c>
      <c r="G853" s="69">
        <f t="shared" si="1348"/>
        <v>500</v>
      </c>
      <c r="H853" s="69">
        <f t="shared" si="1348"/>
        <v>500</v>
      </c>
      <c r="I853" s="69">
        <f t="shared" si="1348"/>
        <v>67</v>
      </c>
      <c r="J853" s="69">
        <f t="shared" si="1348"/>
        <v>0</v>
      </c>
      <c r="K853" s="69">
        <f t="shared" si="1348"/>
        <v>67</v>
      </c>
      <c r="L853" s="283">
        <f t="shared" si="1348"/>
        <v>0</v>
      </c>
      <c r="M853" s="283">
        <f t="shared" si="1348"/>
        <v>0</v>
      </c>
      <c r="N853" s="283">
        <f t="shared" si="1348"/>
        <v>0</v>
      </c>
      <c r="O853" s="283">
        <f t="shared" si="1348"/>
        <v>0</v>
      </c>
      <c r="P853" s="283">
        <f t="shared" si="1348"/>
        <v>0</v>
      </c>
      <c r="Q853" s="117">
        <f t="shared" si="1336"/>
        <v>0</v>
      </c>
      <c r="R853" s="117">
        <f t="shared" si="1337"/>
        <v>0</v>
      </c>
      <c r="S853" s="283">
        <f t="shared" si="1348"/>
        <v>0</v>
      </c>
      <c r="T853" s="283">
        <f t="shared" si="1348"/>
        <v>0</v>
      </c>
      <c r="U853" s="283">
        <f t="shared" si="1348"/>
        <v>0</v>
      </c>
    </row>
    <row r="854" spans="1:21" ht="18" hidden="1" customHeight="1">
      <c r="A854" s="34"/>
      <c r="B854" s="33" t="s">
        <v>194</v>
      </c>
      <c r="C854" s="12">
        <v>70</v>
      </c>
      <c r="D854" s="68">
        <v>148</v>
      </c>
      <c r="E854" s="197">
        <v>497</v>
      </c>
      <c r="F854" s="68">
        <v>500</v>
      </c>
      <c r="G854" s="68">
        <v>500</v>
      </c>
      <c r="H854" s="68">
        <v>500</v>
      </c>
      <c r="I854" s="197">
        <v>67</v>
      </c>
      <c r="J854" s="197"/>
      <c r="K854" s="197">
        <v>67</v>
      </c>
      <c r="L854" s="282">
        <v>0</v>
      </c>
      <c r="M854" s="282">
        <v>0</v>
      </c>
      <c r="N854" s="282">
        <v>0</v>
      </c>
      <c r="O854" s="282">
        <v>0</v>
      </c>
      <c r="P854" s="282">
        <v>0</v>
      </c>
      <c r="Q854" s="117">
        <f t="shared" si="1336"/>
        <v>0</v>
      </c>
      <c r="R854" s="117">
        <f t="shared" si="1337"/>
        <v>0</v>
      </c>
      <c r="S854" s="282">
        <v>0</v>
      </c>
      <c r="T854" s="282">
        <v>0</v>
      </c>
      <c r="U854" s="282">
        <v>0</v>
      </c>
    </row>
    <row r="855" spans="1:21" ht="28.5">
      <c r="A855" s="34" t="s">
        <v>350</v>
      </c>
      <c r="B855" s="50" t="s">
        <v>351</v>
      </c>
      <c r="C855" s="84" t="s">
        <v>352</v>
      </c>
      <c r="D855" s="73">
        <f t="shared" ref="D855:U855" si="1349">D856+D861</f>
        <v>11456</v>
      </c>
      <c r="E855" s="73">
        <f t="shared" ref="E855:F855" si="1350">E856+E861</f>
        <v>11910</v>
      </c>
      <c r="F855" s="73">
        <f t="shared" si="1350"/>
        <v>17019</v>
      </c>
      <c r="G855" s="73">
        <f t="shared" si="1349"/>
        <v>14000</v>
      </c>
      <c r="H855" s="73">
        <f t="shared" si="1349"/>
        <v>17019</v>
      </c>
      <c r="I855" s="73">
        <f t="shared" si="1349"/>
        <v>15410</v>
      </c>
      <c r="J855" s="73">
        <f t="shared" si="1349"/>
        <v>12300</v>
      </c>
      <c r="K855" s="73">
        <f t="shared" ref="K855:L855" si="1351">K856+K861</f>
        <v>15220</v>
      </c>
      <c r="L855" s="292">
        <f t="shared" si="1351"/>
        <v>9700</v>
      </c>
      <c r="M855" s="292">
        <f t="shared" ref="M855:P855" si="1352">M856+M861</f>
        <v>3050</v>
      </c>
      <c r="N855" s="292">
        <f t="shared" si="1352"/>
        <v>2950</v>
      </c>
      <c r="O855" s="292">
        <f t="shared" si="1352"/>
        <v>2720</v>
      </c>
      <c r="P855" s="292">
        <f t="shared" si="1352"/>
        <v>980</v>
      </c>
      <c r="Q855" s="117">
        <f t="shared" si="1336"/>
        <v>9700</v>
      </c>
      <c r="R855" s="117">
        <f t="shared" si="1337"/>
        <v>0</v>
      </c>
      <c r="S855" s="292">
        <f t="shared" si="1349"/>
        <v>9700</v>
      </c>
      <c r="T855" s="292">
        <f t="shared" si="1349"/>
        <v>9700</v>
      </c>
      <c r="U855" s="292">
        <f t="shared" si="1349"/>
        <v>9700</v>
      </c>
    </row>
    <row r="856" spans="1:21" ht="14.25">
      <c r="A856" s="34"/>
      <c r="B856" s="24" t="s">
        <v>153</v>
      </c>
      <c r="C856" s="12"/>
      <c r="D856" s="73">
        <f t="shared" ref="D856:U856" si="1353">D857</f>
        <v>11314</v>
      </c>
      <c r="E856" s="73">
        <f t="shared" si="1353"/>
        <v>11906</v>
      </c>
      <c r="F856" s="73">
        <f t="shared" si="1353"/>
        <v>17014.5</v>
      </c>
      <c r="G856" s="73">
        <f t="shared" si="1353"/>
        <v>14000</v>
      </c>
      <c r="H856" s="73">
        <f t="shared" si="1353"/>
        <v>17014.5</v>
      </c>
      <c r="I856" s="73">
        <f t="shared" si="1353"/>
        <v>15410</v>
      </c>
      <c r="J856" s="73">
        <f t="shared" si="1353"/>
        <v>12300</v>
      </c>
      <c r="K856" s="73">
        <f t="shared" si="1353"/>
        <v>15220</v>
      </c>
      <c r="L856" s="292">
        <f t="shared" si="1353"/>
        <v>9700</v>
      </c>
      <c r="M856" s="292">
        <f t="shared" si="1353"/>
        <v>3050</v>
      </c>
      <c r="N856" s="292">
        <f t="shared" si="1353"/>
        <v>2950</v>
      </c>
      <c r="O856" s="292">
        <f t="shared" si="1353"/>
        <v>2720</v>
      </c>
      <c r="P856" s="292">
        <f t="shared" si="1353"/>
        <v>980</v>
      </c>
      <c r="Q856" s="117">
        <f t="shared" si="1336"/>
        <v>9700</v>
      </c>
      <c r="R856" s="117">
        <f t="shared" si="1337"/>
        <v>0</v>
      </c>
      <c r="S856" s="292">
        <f t="shared" si="1353"/>
        <v>9700</v>
      </c>
      <c r="T856" s="292">
        <f t="shared" si="1353"/>
        <v>9700</v>
      </c>
      <c r="U856" s="292">
        <f t="shared" si="1353"/>
        <v>9700</v>
      </c>
    </row>
    <row r="857" spans="1:21" ht="15">
      <c r="A857" s="34"/>
      <c r="B857" s="33" t="s">
        <v>154</v>
      </c>
      <c r="C857" s="12">
        <v>1</v>
      </c>
      <c r="D857" s="69">
        <f t="shared" ref="D857:U857" si="1354">D858+D859</f>
        <v>11314</v>
      </c>
      <c r="E857" s="69">
        <f>E858+E859+E860</f>
        <v>11906</v>
      </c>
      <c r="F857" s="69">
        <f t="shared" ref="F857" si="1355">F858+F859</f>
        <v>17014.5</v>
      </c>
      <c r="G857" s="69">
        <f t="shared" si="1354"/>
        <v>14000</v>
      </c>
      <c r="H857" s="69">
        <f t="shared" si="1354"/>
        <v>17014.5</v>
      </c>
      <c r="I857" s="69">
        <f t="shared" si="1354"/>
        <v>15410</v>
      </c>
      <c r="J857" s="69">
        <f t="shared" si="1354"/>
        <v>12300</v>
      </c>
      <c r="K857" s="69">
        <f t="shared" ref="K857:L857" si="1356">K858+K859</f>
        <v>15220</v>
      </c>
      <c r="L857" s="283">
        <f t="shared" si="1356"/>
        <v>9700</v>
      </c>
      <c r="M857" s="283">
        <f t="shared" ref="M857:P857" si="1357">M858+M859</f>
        <v>3050</v>
      </c>
      <c r="N857" s="283">
        <f t="shared" si="1357"/>
        <v>2950</v>
      </c>
      <c r="O857" s="283">
        <f t="shared" si="1357"/>
        <v>2720</v>
      </c>
      <c r="P857" s="283">
        <f t="shared" si="1357"/>
        <v>980</v>
      </c>
      <c r="Q857" s="117">
        <f t="shared" si="1336"/>
        <v>9700</v>
      </c>
      <c r="R857" s="117">
        <f t="shared" si="1337"/>
        <v>0</v>
      </c>
      <c r="S857" s="283">
        <f t="shared" si="1354"/>
        <v>9700</v>
      </c>
      <c r="T857" s="283">
        <f t="shared" si="1354"/>
        <v>9700</v>
      </c>
      <c r="U857" s="283">
        <f t="shared" si="1354"/>
        <v>9700</v>
      </c>
    </row>
    <row r="858" spans="1:21" ht="15">
      <c r="A858" s="34"/>
      <c r="B858" s="33" t="s">
        <v>155</v>
      </c>
      <c r="C858" s="12">
        <v>10</v>
      </c>
      <c r="D858" s="68">
        <v>8937</v>
      </c>
      <c r="E858" s="197">
        <v>9601</v>
      </c>
      <c r="F858" s="68">
        <v>14500</v>
      </c>
      <c r="G858" s="68">
        <v>11500</v>
      </c>
      <c r="H858" s="68">
        <v>14500</v>
      </c>
      <c r="I858" s="197">
        <v>12460</v>
      </c>
      <c r="J858" s="197">
        <v>10000</v>
      </c>
      <c r="K858" s="197">
        <v>12270</v>
      </c>
      <c r="L858" s="282">
        <v>8000</v>
      </c>
      <c r="M858" s="282">
        <v>2550</v>
      </c>
      <c r="N858" s="282">
        <v>2550</v>
      </c>
      <c r="O858" s="282">
        <f>2320</f>
        <v>2320</v>
      </c>
      <c r="P858" s="282">
        <v>580</v>
      </c>
      <c r="Q858" s="117">
        <f t="shared" si="1336"/>
        <v>8000</v>
      </c>
      <c r="R858" s="117">
        <f t="shared" si="1337"/>
        <v>0</v>
      </c>
      <c r="S858" s="282">
        <v>8000</v>
      </c>
      <c r="T858" s="282">
        <v>8000</v>
      </c>
      <c r="U858" s="282">
        <v>8000</v>
      </c>
    </row>
    <row r="859" spans="1:21" ht="21" customHeight="1">
      <c r="A859" s="34"/>
      <c r="B859" s="33" t="s">
        <v>588</v>
      </c>
      <c r="C859" s="12">
        <v>20</v>
      </c>
      <c r="D859" s="68">
        <v>2377</v>
      </c>
      <c r="E859" s="197">
        <v>2305</v>
      </c>
      <c r="F859" s="68">
        <v>2514.5</v>
      </c>
      <c r="G859" s="68">
        <v>2500</v>
      </c>
      <c r="H859" s="68">
        <v>2514.5</v>
      </c>
      <c r="I859" s="197">
        <v>2950</v>
      </c>
      <c r="J859" s="197">
        <v>2300</v>
      </c>
      <c r="K859" s="197">
        <v>2950</v>
      </c>
      <c r="L859" s="282">
        <v>1700</v>
      </c>
      <c r="M859" s="282">
        <v>500</v>
      </c>
      <c r="N859" s="282">
        <v>400</v>
      </c>
      <c r="O859" s="282">
        <v>400</v>
      </c>
      <c r="P859" s="282">
        <v>400</v>
      </c>
      <c r="Q859" s="117">
        <f t="shared" si="1336"/>
        <v>1700</v>
      </c>
      <c r="R859" s="117">
        <f t="shared" si="1337"/>
        <v>0</v>
      </c>
      <c r="S859" s="282">
        <v>1700</v>
      </c>
      <c r="T859" s="282">
        <v>1700</v>
      </c>
      <c r="U859" s="282">
        <v>1700</v>
      </c>
    </row>
    <row r="860" spans="1:21" ht="31.5" hidden="1" customHeight="1">
      <c r="A860" s="34"/>
      <c r="B860" s="32" t="s">
        <v>627</v>
      </c>
      <c r="C860" s="12" t="s">
        <v>252</v>
      </c>
      <c r="D860" s="68"/>
      <c r="E860" s="197"/>
      <c r="F860" s="68"/>
      <c r="G860" s="68"/>
      <c r="H860" s="68"/>
      <c r="I860" s="197"/>
      <c r="J860" s="197"/>
      <c r="K860" s="197"/>
      <c r="L860" s="282"/>
      <c r="M860" s="282"/>
      <c r="N860" s="282"/>
      <c r="O860" s="282"/>
      <c r="P860" s="282"/>
      <c r="Q860" s="117">
        <f t="shared" si="1336"/>
        <v>0</v>
      </c>
      <c r="R860" s="117">
        <f t="shared" si="1337"/>
        <v>0</v>
      </c>
      <c r="S860" s="282"/>
      <c r="T860" s="282"/>
      <c r="U860" s="282"/>
    </row>
    <row r="861" spans="1:21" ht="21" hidden="1" customHeight="1">
      <c r="A861" s="34"/>
      <c r="B861" s="26" t="s">
        <v>165</v>
      </c>
      <c r="C861" s="12"/>
      <c r="D861" s="69">
        <f t="shared" ref="D861:U861" si="1358">D862</f>
        <v>142</v>
      </c>
      <c r="E861" s="69">
        <f t="shared" si="1358"/>
        <v>4</v>
      </c>
      <c r="F861" s="69">
        <f t="shared" si="1358"/>
        <v>4.5</v>
      </c>
      <c r="G861" s="69">
        <f t="shared" si="1358"/>
        <v>0</v>
      </c>
      <c r="H861" s="69">
        <f t="shared" si="1358"/>
        <v>4.5</v>
      </c>
      <c r="I861" s="69">
        <f t="shared" si="1358"/>
        <v>0</v>
      </c>
      <c r="J861" s="69">
        <f t="shared" si="1358"/>
        <v>0</v>
      </c>
      <c r="K861" s="69">
        <f t="shared" si="1358"/>
        <v>0</v>
      </c>
      <c r="L861" s="283">
        <f t="shared" si="1358"/>
        <v>0</v>
      </c>
      <c r="M861" s="283">
        <f t="shared" si="1358"/>
        <v>0</v>
      </c>
      <c r="N861" s="283">
        <f t="shared" si="1358"/>
        <v>0</v>
      </c>
      <c r="O861" s="283">
        <f t="shared" si="1358"/>
        <v>0</v>
      </c>
      <c r="P861" s="283">
        <f t="shared" si="1358"/>
        <v>0</v>
      </c>
      <c r="Q861" s="117">
        <f t="shared" si="1336"/>
        <v>0</v>
      </c>
      <c r="R861" s="117">
        <f t="shared" si="1337"/>
        <v>0</v>
      </c>
      <c r="S861" s="283">
        <f t="shared" si="1358"/>
        <v>0</v>
      </c>
      <c r="T861" s="283">
        <f t="shared" si="1358"/>
        <v>0</v>
      </c>
      <c r="U861" s="283">
        <f t="shared" si="1358"/>
        <v>0</v>
      </c>
    </row>
    <row r="862" spans="1:21" ht="21" hidden="1" customHeight="1">
      <c r="A862" s="34"/>
      <c r="B862" s="33" t="s">
        <v>194</v>
      </c>
      <c r="C862" s="12">
        <v>70</v>
      </c>
      <c r="D862" s="68">
        <v>142</v>
      </c>
      <c r="E862" s="197">
        <v>4</v>
      </c>
      <c r="F862" s="68">
        <v>4.5</v>
      </c>
      <c r="G862" s="68"/>
      <c r="H862" s="68">
        <v>4.5</v>
      </c>
      <c r="I862" s="197"/>
      <c r="J862" s="197"/>
      <c r="K862" s="197"/>
      <c r="L862" s="282">
        <v>0</v>
      </c>
      <c r="M862" s="282">
        <v>0</v>
      </c>
      <c r="N862" s="282">
        <v>0</v>
      </c>
      <c r="O862" s="282">
        <v>0</v>
      </c>
      <c r="P862" s="282">
        <v>0</v>
      </c>
      <c r="Q862" s="117">
        <f t="shared" si="1336"/>
        <v>0</v>
      </c>
      <c r="R862" s="117">
        <f t="shared" si="1337"/>
        <v>0</v>
      </c>
      <c r="S862" s="282"/>
      <c r="T862" s="282"/>
      <c r="U862" s="282"/>
    </row>
    <row r="863" spans="1:21" ht="30" customHeight="1">
      <c r="A863" s="34" t="s">
        <v>435</v>
      </c>
      <c r="B863" s="50" t="s">
        <v>353</v>
      </c>
      <c r="C863" s="84" t="s">
        <v>352</v>
      </c>
      <c r="D863" s="73">
        <f t="shared" ref="D863:U863" si="1359">D864+D868</f>
        <v>595</v>
      </c>
      <c r="E863" s="73">
        <f t="shared" ref="E863:F863" si="1360">E864+E868</f>
        <v>614</v>
      </c>
      <c r="F863" s="73">
        <f t="shared" si="1360"/>
        <v>751</v>
      </c>
      <c r="G863" s="73">
        <f t="shared" si="1359"/>
        <v>750</v>
      </c>
      <c r="H863" s="73">
        <f t="shared" si="1359"/>
        <v>751</v>
      </c>
      <c r="I863" s="73">
        <f t="shared" si="1359"/>
        <v>820</v>
      </c>
      <c r="J863" s="73">
        <f t="shared" si="1359"/>
        <v>620</v>
      </c>
      <c r="K863" s="73">
        <f t="shared" ref="K863:L863" si="1361">K864+K868</f>
        <v>725</v>
      </c>
      <c r="L863" s="292">
        <f t="shared" si="1361"/>
        <v>600</v>
      </c>
      <c r="M863" s="292">
        <f t="shared" ref="M863:P863" si="1362">M864+M868</f>
        <v>175</v>
      </c>
      <c r="N863" s="292">
        <f t="shared" si="1362"/>
        <v>175</v>
      </c>
      <c r="O863" s="292">
        <f t="shared" si="1362"/>
        <v>175</v>
      </c>
      <c r="P863" s="292">
        <f t="shared" si="1362"/>
        <v>75</v>
      </c>
      <c r="Q863" s="117">
        <f t="shared" si="1336"/>
        <v>600</v>
      </c>
      <c r="R863" s="117">
        <f t="shared" si="1337"/>
        <v>0</v>
      </c>
      <c r="S863" s="292">
        <f t="shared" si="1359"/>
        <v>600</v>
      </c>
      <c r="T863" s="292">
        <f t="shared" si="1359"/>
        <v>600</v>
      </c>
      <c r="U863" s="292">
        <f t="shared" si="1359"/>
        <v>600</v>
      </c>
    </row>
    <row r="864" spans="1:21" ht="13.5" customHeight="1">
      <c r="A864" s="34"/>
      <c r="B864" s="24" t="s">
        <v>153</v>
      </c>
      <c r="C864" s="12"/>
      <c r="D864" s="69">
        <f t="shared" ref="D864:U864" si="1363">D865</f>
        <v>572</v>
      </c>
      <c r="E864" s="69">
        <f t="shared" si="1363"/>
        <v>614</v>
      </c>
      <c r="F864" s="69">
        <f t="shared" si="1363"/>
        <v>751</v>
      </c>
      <c r="G864" s="69">
        <f t="shared" si="1363"/>
        <v>750</v>
      </c>
      <c r="H864" s="69">
        <f t="shared" si="1363"/>
        <v>751</v>
      </c>
      <c r="I864" s="69">
        <f t="shared" si="1363"/>
        <v>820</v>
      </c>
      <c r="J864" s="69">
        <f t="shared" si="1363"/>
        <v>620</v>
      </c>
      <c r="K864" s="69">
        <f t="shared" si="1363"/>
        <v>725</v>
      </c>
      <c r="L864" s="283">
        <f t="shared" si="1363"/>
        <v>600</v>
      </c>
      <c r="M864" s="283">
        <f t="shared" si="1363"/>
        <v>175</v>
      </c>
      <c r="N864" s="283">
        <f t="shared" si="1363"/>
        <v>175</v>
      </c>
      <c r="O864" s="283">
        <f t="shared" si="1363"/>
        <v>175</v>
      </c>
      <c r="P864" s="283">
        <f t="shared" si="1363"/>
        <v>75</v>
      </c>
      <c r="Q864" s="117">
        <f t="shared" si="1336"/>
        <v>600</v>
      </c>
      <c r="R864" s="117">
        <f t="shared" si="1337"/>
        <v>0</v>
      </c>
      <c r="S864" s="283">
        <f t="shared" si="1363"/>
        <v>600</v>
      </c>
      <c r="T864" s="283">
        <f t="shared" si="1363"/>
        <v>600</v>
      </c>
      <c r="U864" s="283">
        <f t="shared" si="1363"/>
        <v>600</v>
      </c>
    </row>
    <row r="865" spans="1:21" ht="13.5" customHeight="1">
      <c r="A865" s="34"/>
      <c r="B865" s="33" t="s">
        <v>154</v>
      </c>
      <c r="C865" s="12">
        <v>1</v>
      </c>
      <c r="D865" s="69">
        <f t="shared" ref="D865:U865" si="1364">D866+D867</f>
        <v>572</v>
      </c>
      <c r="E865" s="69">
        <f t="shared" ref="E865:F865" si="1365">E866+E867</f>
        <v>614</v>
      </c>
      <c r="F865" s="69">
        <f t="shared" si="1365"/>
        <v>751</v>
      </c>
      <c r="G865" s="69">
        <f t="shared" si="1364"/>
        <v>750</v>
      </c>
      <c r="H865" s="69">
        <f t="shared" si="1364"/>
        <v>751</v>
      </c>
      <c r="I865" s="69">
        <f t="shared" si="1364"/>
        <v>820</v>
      </c>
      <c r="J865" s="69">
        <f t="shared" si="1364"/>
        <v>620</v>
      </c>
      <c r="K865" s="69">
        <f t="shared" ref="K865:L865" si="1366">K866+K867</f>
        <v>725</v>
      </c>
      <c r="L865" s="283">
        <f t="shared" si="1366"/>
        <v>600</v>
      </c>
      <c r="M865" s="283">
        <f t="shared" ref="M865:P865" si="1367">M866+M867</f>
        <v>175</v>
      </c>
      <c r="N865" s="283">
        <f t="shared" si="1367"/>
        <v>175</v>
      </c>
      <c r="O865" s="283">
        <f t="shared" si="1367"/>
        <v>175</v>
      </c>
      <c r="P865" s="283">
        <f t="shared" si="1367"/>
        <v>75</v>
      </c>
      <c r="Q865" s="117">
        <f t="shared" si="1336"/>
        <v>600</v>
      </c>
      <c r="R865" s="117">
        <f t="shared" si="1337"/>
        <v>0</v>
      </c>
      <c r="S865" s="283">
        <f t="shared" si="1364"/>
        <v>600</v>
      </c>
      <c r="T865" s="283">
        <f t="shared" si="1364"/>
        <v>600</v>
      </c>
      <c r="U865" s="283">
        <f t="shared" si="1364"/>
        <v>600</v>
      </c>
    </row>
    <row r="866" spans="1:21" ht="13.5" customHeight="1">
      <c r="A866" s="34"/>
      <c r="B866" s="33" t="s">
        <v>155</v>
      </c>
      <c r="C866" s="12">
        <v>10</v>
      </c>
      <c r="D866" s="68">
        <v>450</v>
      </c>
      <c r="E866" s="197">
        <v>493</v>
      </c>
      <c r="F866" s="68">
        <v>600</v>
      </c>
      <c r="G866" s="68">
        <v>600</v>
      </c>
      <c r="H866" s="68">
        <v>600</v>
      </c>
      <c r="I866" s="197">
        <v>650</v>
      </c>
      <c r="J866" s="197">
        <v>500</v>
      </c>
      <c r="K866" s="197">
        <v>555</v>
      </c>
      <c r="L866" s="282">
        <v>500</v>
      </c>
      <c r="M866" s="282">
        <v>150</v>
      </c>
      <c r="N866" s="282">
        <v>150</v>
      </c>
      <c r="O866" s="282">
        <v>150</v>
      </c>
      <c r="P866" s="282">
        <v>50</v>
      </c>
      <c r="Q866" s="117">
        <f t="shared" si="1336"/>
        <v>500</v>
      </c>
      <c r="R866" s="117">
        <f t="shared" si="1337"/>
        <v>0</v>
      </c>
      <c r="S866" s="282">
        <v>500</v>
      </c>
      <c r="T866" s="282">
        <v>500</v>
      </c>
      <c r="U866" s="282">
        <v>500</v>
      </c>
    </row>
    <row r="867" spans="1:21" ht="14.25" customHeight="1">
      <c r="A867" s="34"/>
      <c r="B867" s="33" t="s">
        <v>588</v>
      </c>
      <c r="C867" s="12">
        <v>20</v>
      </c>
      <c r="D867" s="68">
        <v>122</v>
      </c>
      <c r="E867" s="197">
        <v>121</v>
      </c>
      <c r="F867" s="68">
        <v>151</v>
      </c>
      <c r="G867" s="68">
        <v>150</v>
      </c>
      <c r="H867" s="68">
        <v>151</v>
      </c>
      <c r="I867" s="197">
        <v>170</v>
      </c>
      <c r="J867" s="197">
        <v>120</v>
      </c>
      <c r="K867" s="197">
        <v>170</v>
      </c>
      <c r="L867" s="282">
        <v>100</v>
      </c>
      <c r="M867" s="282">
        <v>25</v>
      </c>
      <c r="N867" s="282">
        <v>25</v>
      </c>
      <c r="O867" s="282">
        <v>25</v>
      </c>
      <c r="P867" s="282">
        <v>25</v>
      </c>
      <c r="Q867" s="117">
        <f t="shared" si="1336"/>
        <v>100</v>
      </c>
      <c r="R867" s="117">
        <f t="shared" si="1337"/>
        <v>0</v>
      </c>
      <c r="S867" s="282">
        <v>100</v>
      </c>
      <c r="T867" s="282">
        <v>100</v>
      </c>
      <c r="U867" s="282">
        <v>100</v>
      </c>
    </row>
    <row r="868" spans="1:21" ht="13.5" hidden="1" customHeight="1">
      <c r="A868" s="34"/>
      <c r="B868" s="26" t="s">
        <v>165</v>
      </c>
      <c r="C868" s="12"/>
      <c r="D868" s="69">
        <f t="shared" ref="D868:U868" si="1368">D869</f>
        <v>23</v>
      </c>
      <c r="E868" s="69">
        <f t="shared" si="1368"/>
        <v>0</v>
      </c>
      <c r="F868" s="69">
        <f t="shared" si="1368"/>
        <v>0</v>
      </c>
      <c r="G868" s="69">
        <f t="shared" si="1368"/>
        <v>0</v>
      </c>
      <c r="H868" s="69">
        <f t="shared" si="1368"/>
        <v>0</v>
      </c>
      <c r="I868" s="69">
        <f t="shared" si="1368"/>
        <v>0</v>
      </c>
      <c r="J868" s="69">
        <f t="shared" si="1368"/>
        <v>0</v>
      </c>
      <c r="K868" s="69">
        <f t="shared" si="1368"/>
        <v>0</v>
      </c>
      <c r="L868" s="283">
        <f t="shared" si="1368"/>
        <v>0</v>
      </c>
      <c r="M868" s="283">
        <f t="shared" si="1368"/>
        <v>0</v>
      </c>
      <c r="N868" s="283">
        <f t="shared" si="1368"/>
        <v>0</v>
      </c>
      <c r="O868" s="283">
        <f t="shared" si="1368"/>
        <v>0</v>
      </c>
      <c r="P868" s="283">
        <f t="shared" si="1368"/>
        <v>0</v>
      </c>
      <c r="Q868" s="117">
        <f t="shared" si="1336"/>
        <v>0</v>
      </c>
      <c r="R868" s="117">
        <f t="shared" si="1337"/>
        <v>0</v>
      </c>
      <c r="S868" s="283">
        <f t="shared" si="1368"/>
        <v>0</v>
      </c>
      <c r="T868" s="283">
        <f t="shared" si="1368"/>
        <v>0</v>
      </c>
      <c r="U868" s="283">
        <f t="shared" si="1368"/>
        <v>0</v>
      </c>
    </row>
    <row r="869" spans="1:21" ht="13.5" hidden="1" customHeight="1">
      <c r="A869" s="34"/>
      <c r="B869" s="33" t="s">
        <v>194</v>
      </c>
      <c r="C869" s="12">
        <v>70</v>
      </c>
      <c r="D869" s="68">
        <v>23</v>
      </c>
      <c r="E869" s="197"/>
      <c r="F869" s="68"/>
      <c r="G869" s="68"/>
      <c r="H869" s="68"/>
      <c r="I869" s="197"/>
      <c r="J869" s="197"/>
      <c r="K869" s="197"/>
      <c r="L869" s="282">
        <v>0</v>
      </c>
      <c r="M869" s="282">
        <v>0</v>
      </c>
      <c r="N869" s="282">
        <v>0</v>
      </c>
      <c r="O869" s="282">
        <v>0</v>
      </c>
      <c r="P869" s="282">
        <v>0</v>
      </c>
      <c r="Q869" s="117">
        <f t="shared" si="1336"/>
        <v>0</v>
      </c>
      <c r="R869" s="117">
        <f t="shared" si="1337"/>
        <v>0</v>
      </c>
      <c r="S869" s="282"/>
      <c r="T869" s="282"/>
      <c r="U869" s="282"/>
    </row>
    <row r="870" spans="1:21" ht="31.5" customHeight="1">
      <c r="A870" s="34" t="s">
        <v>358</v>
      </c>
      <c r="B870" s="50" t="s">
        <v>565</v>
      </c>
      <c r="C870" s="84" t="s">
        <v>352</v>
      </c>
      <c r="D870" s="73">
        <f t="shared" ref="D870:U870" si="1369">D871+D875</f>
        <v>4091</v>
      </c>
      <c r="E870" s="73">
        <f t="shared" ref="E870:F870" si="1370">E871+E875</f>
        <v>4254</v>
      </c>
      <c r="F870" s="73">
        <f t="shared" si="1370"/>
        <v>4772</v>
      </c>
      <c r="G870" s="73">
        <f t="shared" si="1369"/>
        <v>4728</v>
      </c>
      <c r="H870" s="73">
        <f t="shared" si="1369"/>
        <v>4772</v>
      </c>
      <c r="I870" s="73">
        <f t="shared" si="1369"/>
        <v>4916</v>
      </c>
      <c r="J870" s="73">
        <f t="shared" si="1369"/>
        <v>4250</v>
      </c>
      <c r="K870" s="73">
        <f t="shared" ref="K870:L870" si="1371">K871+K875</f>
        <v>4720</v>
      </c>
      <c r="L870" s="292">
        <f t="shared" si="1371"/>
        <v>4200</v>
      </c>
      <c r="M870" s="292">
        <f t="shared" ref="M870:P870" si="1372">M871+M875</f>
        <v>1150</v>
      </c>
      <c r="N870" s="292">
        <f t="shared" si="1372"/>
        <v>1150</v>
      </c>
      <c r="O870" s="292">
        <f t="shared" si="1372"/>
        <v>1150</v>
      </c>
      <c r="P870" s="292">
        <f t="shared" si="1372"/>
        <v>750</v>
      </c>
      <c r="Q870" s="117">
        <f t="shared" si="1336"/>
        <v>4200</v>
      </c>
      <c r="R870" s="117">
        <f t="shared" si="1337"/>
        <v>0</v>
      </c>
      <c r="S870" s="292">
        <f t="shared" si="1369"/>
        <v>4200</v>
      </c>
      <c r="T870" s="292">
        <f t="shared" si="1369"/>
        <v>4200</v>
      </c>
      <c r="U870" s="292">
        <f t="shared" si="1369"/>
        <v>4200</v>
      </c>
    </row>
    <row r="871" spans="1:21" ht="13.5" customHeight="1">
      <c r="A871" s="34"/>
      <c r="B871" s="24" t="s">
        <v>153</v>
      </c>
      <c r="C871" s="12"/>
      <c r="D871" s="69">
        <f t="shared" ref="D871:U871" si="1373">D872</f>
        <v>4014</v>
      </c>
      <c r="E871" s="69">
        <f t="shared" si="1373"/>
        <v>4219</v>
      </c>
      <c r="F871" s="69">
        <f t="shared" si="1373"/>
        <v>4736.3999999999996</v>
      </c>
      <c r="G871" s="69">
        <f t="shared" si="1373"/>
        <v>4700</v>
      </c>
      <c r="H871" s="69">
        <f t="shared" si="1373"/>
        <v>4736.3999999999996</v>
      </c>
      <c r="I871" s="69">
        <f t="shared" si="1373"/>
        <v>4916</v>
      </c>
      <c r="J871" s="69">
        <f t="shared" si="1373"/>
        <v>4250</v>
      </c>
      <c r="K871" s="69">
        <f t="shared" si="1373"/>
        <v>4720</v>
      </c>
      <c r="L871" s="283">
        <f t="shared" si="1373"/>
        <v>4200</v>
      </c>
      <c r="M871" s="283">
        <f t="shared" si="1373"/>
        <v>1150</v>
      </c>
      <c r="N871" s="283">
        <f t="shared" si="1373"/>
        <v>1150</v>
      </c>
      <c r="O871" s="283">
        <f t="shared" si="1373"/>
        <v>1150</v>
      </c>
      <c r="P871" s="283">
        <f t="shared" si="1373"/>
        <v>750</v>
      </c>
      <c r="Q871" s="117">
        <f t="shared" si="1336"/>
        <v>4200</v>
      </c>
      <c r="R871" s="117">
        <f t="shared" si="1337"/>
        <v>0</v>
      </c>
      <c r="S871" s="283">
        <f t="shared" si="1373"/>
        <v>4200</v>
      </c>
      <c r="T871" s="283">
        <f t="shared" si="1373"/>
        <v>4200</v>
      </c>
      <c r="U871" s="283">
        <f t="shared" si="1373"/>
        <v>4200</v>
      </c>
    </row>
    <row r="872" spans="1:21" ht="13.5" customHeight="1">
      <c r="A872" s="34"/>
      <c r="B872" s="33" t="s">
        <v>154</v>
      </c>
      <c r="C872" s="12">
        <v>1</v>
      </c>
      <c r="D872" s="69">
        <f t="shared" ref="D872:U872" si="1374">D873+D874</f>
        <v>4014</v>
      </c>
      <c r="E872" s="69">
        <f t="shared" ref="E872:F872" si="1375">E873+E874</f>
        <v>4219</v>
      </c>
      <c r="F872" s="69">
        <f t="shared" si="1375"/>
        <v>4736.3999999999996</v>
      </c>
      <c r="G872" s="69">
        <f t="shared" si="1374"/>
        <v>4700</v>
      </c>
      <c r="H872" s="69">
        <f t="shared" si="1374"/>
        <v>4736.3999999999996</v>
      </c>
      <c r="I872" s="69">
        <f t="shared" si="1374"/>
        <v>4916</v>
      </c>
      <c r="J872" s="69">
        <f t="shared" si="1374"/>
        <v>4250</v>
      </c>
      <c r="K872" s="69">
        <f t="shared" ref="K872:L872" si="1376">K873+K874</f>
        <v>4720</v>
      </c>
      <c r="L872" s="283">
        <f t="shared" si="1376"/>
        <v>4200</v>
      </c>
      <c r="M872" s="283">
        <f t="shared" ref="M872:P872" si="1377">M873+M874</f>
        <v>1150</v>
      </c>
      <c r="N872" s="283">
        <f t="shared" si="1377"/>
        <v>1150</v>
      </c>
      <c r="O872" s="283">
        <f t="shared" si="1377"/>
        <v>1150</v>
      </c>
      <c r="P872" s="283">
        <f t="shared" si="1377"/>
        <v>750</v>
      </c>
      <c r="Q872" s="117">
        <f t="shared" si="1336"/>
        <v>4200</v>
      </c>
      <c r="R872" s="117">
        <f t="shared" si="1337"/>
        <v>0</v>
      </c>
      <c r="S872" s="283">
        <f t="shared" si="1374"/>
        <v>4200</v>
      </c>
      <c r="T872" s="283">
        <f t="shared" si="1374"/>
        <v>4200</v>
      </c>
      <c r="U872" s="283">
        <f t="shared" si="1374"/>
        <v>4200</v>
      </c>
    </row>
    <row r="873" spans="1:21" ht="13.5" customHeight="1">
      <c r="A873" s="34"/>
      <c r="B873" s="33" t="s">
        <v>155</v>
      </c>
      <c r="C873" s="12">
        <v>10</v>
      </c>
      <c r="D873" s="68">
        <v>3252</v>
      </c>
      <c r="E873" s="197">
        <v>3439</v>
      </c>
      <c r="F873" s="68">
        <v>3850</v>
      </c>
      <c r="G873" s="68">
        <v>3850</v>
      </c>
      <c r="H873" s="68">
        <v>3850</v>
      </c>
      <c r="I873" s="197">
        <v>3996</v>
      </c>
      <c r="J873" s="197">
        <v>3500</v>
      </c>
      <c r="K873" s="197">
        <v>3800</v>
      </c>
      <c r="L873" s="282">
        <v>3600</v>
      </c>
      <c r="M873" s="282">
        <v>1000</v>
      </c>
      <c r="N873" s="282">
        <v>1000</v>
      </c>
      <c r="O873" s="282">
        <v>1000</v>
      </c>
      <c r="P873" s="282">
        <v>600</v>
      </c>
      <c r="Q873" s="117">
        <f t="shared" si="1336"/>
        <v>3600</v>
      </c>
      <c r="R873" s="117">
        <f t="shared" si="1337"/>
        <v>0</v>
      </c>
      <c r="S873" s="282">
        <v>3600</v>
      </c>
      <c r="T873" s="282">
        <v>3600</v>
      </c>
      <c r="U873" s="282">
        <v>3600</v>
      </c>
    </row>
    <row r="874" spans="1:21" ht="12.75" customHeight="1">
      <c r="A874" s="34"/>
      <c r="B874" s="33" t="s">
        <v>588</v>
      </c>
      <c r="C874" s="12">
        <v>20</v>
      </c>
      <c r="D874" s="68">
        <v>762</v>
      </c>
      <c r="E874" s="197">
        <v>780</v>
      </c>
      <c r="F874" s="68">
        <v>886.4</v>
      </c>
      <c r="G874" s="68">
        <v>850</v>
      </c>
      <c r="H874" s="68">
        <v>886.4</v>
      </c>
      <c r="I874" s="197">
        <v>920</v>
      </c>
      <c r="J874" s="197">
        <v>750</v>
      </c>
      <c r="K874" s="197">
        <v>920</v>
      </c>
      <c r="L874" s="282">
        <v>600</v>
      </c>
      <c r="M874" s="282">
        <v>150</v>
      </c>
      <c r="N874" s="282">
        <v>150</v>
      </c>
      <c r="O874" s="282">
        <v>150</v>
      </c>
      <c r="P874" s="282">
        <v>150</v>
      </c>
      <c r="Q874" s="117">
        <f t="shared" si="1336"/>
        <v>600</v>
      </c>
      <c r="R874" s="117">
        <f t="shared" si="1337"/>
        <v>0</v>
      </c>
      <c r="S874" s="282">
        <v>600</v>
      </c>
      <c r="T874" s="282">
        <v>600</v>
      </c>
      <c r="U874" s="282">
        <v>600</v>
      </c>
    </row>
    <row r="875" spans="1:21" ht="12.75" hidden="1" customHeight="1">
      <c r="A875" s="34"/>
      <c r="B875" s="26" t="s">
        <v>165</v>
      </c>
      <c r="C875" s="12"/>
      <c r="D875" s="69">
        <f t="shared" ref="D875:U875" si="1378">D876</f>
        <v>77</v>
      </c>
      <c r="E875" s="69">
        <f t="shared" si="1378"/>
        <v>35</v>
      </c>
      <c r="F875" s="69">
        <f t="shared" si="1378"/>
        <v>35.6</v>
      </c>
      <c r="G875" s="69">
        <f t="shared" si="1378"/>
        <v>28</v>
      </c>
      <c r="H875" s="69">
        <f t="shared" si="1378"/>
        <v>35.6</v>
      </c>
      <c r="I875" s="69">
        <f t="shared" si="1378"/>
        <v>0</v>
      </c>
      <c r="J875" s="69">
        <f t="shared" si="1378"/>
        <v>0</v>
      </c>
      <c r="K875" s="69">
        <f t="shared" si="1378"/>
        <v>0</v>
      </c>
      <c r="L875" s="283">
        <f t="shared" si="1378"/>
        <v>0</v>
      </c>
      <c r="M875" s="283">
        <f t="shared" si="1378"/>
        <v>0</v>
      </c>
      <c r="N875" s="283">
        <f t="shared" si="1378"/>
        <v>0</v>
      </c>
      <c r="O875" s="283">
        <f t="shared" si="1378"/>
        <v>0</v>
      </c>
      <c r="P875" s="283">
        <f t="shared" si="1378"/>
        <v>0</v>
      </c>
      <c r="Q875" s="117">
        <f t="shared" si="1336"/>
        <v>0</v>
      </c>
      <c r="R875" s="117">
        <f t="shared" si="1337"/>
        <v>0</v>
      </c>
      <c r="S875" s="283">
        <f t="shared" si="1378"/>
        <v>0</v>
      </c>
      <c r="T875" s="283">
        <f t="shared" si="1378"/>
        <v>0</v>
      </c>
      <c r="U875" s="283">
        <f t="shared" si="1378"/>
        <v>0</v>
      </c>
    </row>
    <row r="876" spans="1:21" ht="12.75" hidden="1" customHeight="1">
      <c r="A876" s="34"/>
      <c r="B876" s="33" t="s">
        <v>194</v>
      </c>
      <c r="C876" s="12">
        <v>70</v>
      </c>
      <c r="D876" s="68">
        <v>77</v>
      </c>
      <c r="E876" s="197">
        <v>35</v>
      </c>
      <c r="F876" s="68">
        <v>35.6</v>
      </c>
      <c r="G876" s="68">
        <v>28</v>
      </c>
      <c r="H876" s="68">
        <v>35.6</v>
      </c>
      <c r="I876" s="197">
        <v>0</v>
      </c>
      <c r="J876" s="197"/>
      <c r="K876" s="197">
        <v>0</v>
      </c>
      <c r="L876" s="282">
        <v>0</v>
      </c>
      <c r="M876" s="282">
        <v>0</v>
      </c>
      <c r="N876" s="282">
        <v>0</v>
      </c>
      <c r="O876" s="282">
        <v>0</v>
      </c>
      <c r="P876" s="282">
        <v>0</v>
      </c>
      <c r="Q876" s="117">
        <f t="shared" si="1336"/>
        <v>0</v>
      </c>
      <c r="R876" s="117">
        <f t="shared" si="1337"/>
        <v>0</v>
      </c>
      <c r="S876" s="282">
        <v>0</v>
      </c>
      <c r="T876" s="282">
        <v>0</v>
      </c>
      <c r="U876" s="282">
        <v>0</v>
      </c>
    </row>
    <row r="877" spans="1:21" ht="35.25" customHeight="1">
      <c r="A877" s="34" t="s">
        <v>436</v>
      </c>
      <c r="B877" s="50" t="s">
        <v>354</v>
      </c>
      <c r="C877" s="12" t="s">
        <v>355</v>
      </c>
      <c r="D877" s="73">
        <f t="shared" ref="D877:U877" si="1379">D878+D882</f>
        <v>5240</v>
      </c>
      <c r="E877" s="73">
        <f t="shared" ref="E877:F877" si="1380">E878+E882</f>
        <v>5291</v>
      </c>
      <c r="F877" s="73">
        <f t="shared" si="1380"/>
        <v>6436</v>
      </c>
      <c r="G877" s="73">
        <f t="shared" si="1379"/>
        <v>6406</v>
      </c>
      <c r="H877" s="73">
        <f t="shared" si="1379"/>
        <v>6436</v>
      </c>
      <c r="I877" s="73">
        <f t="shared" si="1379"/>
        <v>6576</v>
      </c>
      <c r="J877" s="73">
        <f t="shared" si="1379"/>
        <v>5300</v>
      </c>
      <c r="K877" s="73">
        <f t="shared" ref="K877:L877" si="1381">K878+K882</f>
        <v>6486</v>
      </c>
      <c r="L877" s="292">
        <f t="shared" si="1381"/>
        <v>4650</v>
      </c>
      <c r="M877" s="292">
        <f t="shared" ref="M877:P877" si="1382">M878+M882</f>
        <v>1450</v>
      </c>
      <c r="N877" s="292">
        <f t="shared" si="1382"/>
        <v>1500</v>
      </c>
      <c r="O877" s="292">
        <f t="shared" si="1382"/>
        <v>1400</v>
      </c>
      <c r="P877" s="292">
        <f t="shared" si="1382"/>
        <v>300</v>
      </c>
      <c r="Q877" s="117">
        <f t="shared" si="1336"/>
        <v>4650</v>
      </c>
      <c r="R877" s="117">
        <f t="shared" si="1337"/>
        <v>0</v>
      </c>
      <c r="S877" s="292">
        <f t="shared" si="1379"/>
        <v>4650</v>
      </c>
      <c r="T877" s="292">
        <f t="shared" si="1379"/>
        <v>4650</v>
      </c>
      <c r="U877" s="292">
        <f t="shared" si="1379"/>
        <v>4650</v>
      </c>
    </row>
    <row r="878" spans="1:21" ht="14.25">
      <c r="A878" s="34"/>
      <c r="B878" s="24" t="s">
        <v>153</v>
      </c>
      <c r="C878" s="12"/>
      <c r="D878" s="73">
        <f t="shared" ref="D878:U878" si="1383">D879</f>
        <v>5064</v>
      </c>
      <c r="E878" s="73">
        <f t="shared" si="1383"/>
        <v>5285</v>
      </c>
      <c r="F878" s="73">
        <f t="shared" si="1383"/>
        <v>6430</v>
      </c>
      <c r="G878" s="73">
        <f t="shared" si="1383"/>
        <v>6400</v>
      </c>
      <c r="H878" s="73">
        <f t="shared" si="1383"/>
        <v>6430</v>
      </c>
      <c r="I878" s="73">
        <f t="shared" si="1383"/>
        <v>6515</v>
      </c>
      <c r="J878" s="73">
        <f t="shared" si="1383"/>
        <v>5300</v>
      </c>
      <c r="K878" s="73">
        <f t="shared" si="1383"/>
        <v>6425</v>
      </c>
      <c r="L878" s="292">
        <f t="shared" si="1383"/>
        <v>4650</v>
      </c>
      <c r="M878" s="292">
        <f t="shared" si="1383"/>
        <v>1450</v>
      </c>
      <c r="N878" s="292">
        <f t="shared" si="1383"/>
        <v>1500</v>
      </c>
      <c r="O878" s="292">
        <f t="shared" si="1383"/>
        <v>1400</v>
      </c>
      <c r="P878" s="292">
        <f t="shared" si="1383"/>
        <v>300</v>
      </c>
      <c r="Q878" s="117">
        <f t="shared" si="1336"/>
        <v>4650</v>
      </c>
      <c r="R878" s="117">
        <f t="shared" si="1337"/>
        <v>0</v>
      </c>
      <c r="S878" s="292">
        <f t="shared" si="1383"/>
        <v>4650</v>
      </c>
      <c r="T878" s="292">
        <f t="shared" si="1383"/>
        <v>4650</v>
      </c>
      <c r="U878" s="292">
        <f t="shared" si="1383"/>
        <v>4650</v>
      </c>
    </row>
    <row r="879" spans="1:21" ht="15">
      <c r="A879" s="34"/>
      <c r="B879" s="33" t="s">
        <v>154</v>
      </c>
      <c r="C879" s="12">
        <v>1</v>
      </c>
      <c r="D879" s="69">
        <f t="shared" ref="D879:U879" si="1384">D880+D881</f>
        <v>5064</v>
      </c>
      <c r="E879" s="69">
        <f t="shared" ref="E879:F879" si="1385">E880+E881</f>
        <v>5285</v>
      </c>
      <c r="F879" s="69">
        <f t="shared" si="1385"/>
        <v>6430</v>
      </c>
      <c r="G879" s="69">
        <f t="shared" si="1384"/>
        <v>6400</v>
      </c>
      <c r="H879" s="69">
        <f t="shared" si="1384"/>
        <v>6430</v>
      </c>
      <c r="I879" s="69">
        <f t="shared" si="1384"/>
        <v>6515</v>
      </c>
      <c r="J879" s="69">
        <f t="shared" si="1384"/>
        <v>5300</v>
      </c>
      <c r="K879" s="69">
        <f t="shared" ref="K879:L879" si="1386">K880+K881</f>
        <v>6425</v>
      </c>
      <c r="L879" s="283">
        <f t="shared" si="1386"/>
        <v>4650</v>
      </c>
      <c r="M879" s="283">
        <f t="shared" ref="M879:P879" si="1387">M880+M881</f>
        <v>1450</v>
      </c>
      <c r="N879" s="283">
        <f t="shared" si="1387"/>
        <v>1500</v>
      </c>
      <c r="O879" s="283">
        <f t="shared" si="1387"/>
        <v>1400</v>
      </c>
      <c r="P879" s="283">
        <f t="shared" si="1387"/>
        <v>300</v>
      </c>
      <c r="Q879" s="117">
        <f t="shared" si="1336"/>
        <v>4650</v>
      </c>
      <c r="R879" s="117">
        <f t="shared" si="1337"/>
        <v>0</v>
      </c>
      <c r="S879" s="283">
        <f t="shared" si="1384"/>
        <v>4650</v>
      </c>
      <c r="T879" s="283">
        <f t="shared" si="1384"/>
        <v>4650</v>
      </c>
      <c r="U879" s="283">
        <f t="shared" si="1384"/>
        <v>4650</v>
      </c>
    </row>
    <row r="880" spans="1:21" ht="15">
      <c r="A880" s="34"/>
      <c r="B880" s="33" t="s">
        <v>155</v>
      </c>
      <c r="C880" s="12">
        <v>10</v>
      </c>
      <c r="D880" s="68">
        <v>4231</v>
      </c>
      <c r="E880" s="197">
        <v>4473</v>
      </c>
      <c r="F880" s="68">
        <v>5400</v>
      </c>
      <c r="G880" s="68">
        <v>5400</v>
      </c>
      <c r="H880" s="68">
        <v>5400</v>
      </c>
      <c r="I880" s="197">
        <v>5400</v>
      </c>
      <c r="J880" s="197">
        <v>4500</v>
      </c>
      <c r="K880" s="197">
        <v>5310</v>
      </c>
      <c r="L880" s="282">
        <v>4000</v>
      </c>
      <c r="M880" s="282">
        <v>1350</v>
      </c>
      <c r="N880" s="282">
        <f>1300-50</f>
        <v>1250</v>
      </c>
      <c r="O880" s="282">
        <v>1200</v>
      </c>
      <c r="P880" s="282">
        <f>150+50</f>
        <v>200</v>
      </c>
      <c r="Q880" s="117">
        <f t="shared" si="1336"/>
        <v>4000</v>
      </c>
      <c r="R880" s="117">
        <f t="shared" si="1337"/>
        <v>0</v>
      </c>
      <c r="S880" s="282">
        <v>4000</v>
      </c>
      <c r="T880" s="282">
        <v>4000</v>
      </c>
      <c r="U880" s="282">
        <v>4000</v>
      </c>
    </row>
    <row r="881" spans="1:21" ht="17.25" customHeight="1">
      <c r="A881" s="34"/>
      <c r="B881" s="33" t="s">
        <v>588</v>
      </c>
      <c r="C881" s="12">
        <v>20</v>
      </c>
      <c r="D881" s="68">
        <v>833</v>
      </c>
      <c r="E881" s="197">
        <v>812</v>
      </c>
      <c r="F881" s="68">
        <v>1030</v>
      </c>
      <c r="G881" s="68">
        <v>1000</v>
      </c>
      <c r="H881" s="68">
        <v>1030</v>
      </c>
      <c r="I881" s="197">
        <v>1115</v>
      </c>
      <c r="J881" s="197">
        <v>800</v>
      </c>
      <c r="K881" s="197">
        <v>1115</v>
      </c>
      <c r="L881" s="282">
        <v>650</v>
      </c>
      <c r="M881" s="282">
        <v>100</v>
      </c>
      <c r="N881" s="282">
        <f>200+50</f>
        <v>250</v>
      </c>
      <c r="O881" s="282">
        <v>200</v>
      </c>
      <c r="P881" s="282">
        <f>150-50</f>
        <v>100</v>
      </c>
      <c r="Q881" s="117">
        <f t="shared" si="1336"/>
        <v>650</v>
      </c>
      <c r="R881" s="117">
        <f t="shared" si="1337"/>
        <v>0</v>
      </c>
      <c r="S881" s="282">
        <v>650</v>
      </c>
      <c r="T881" s="282">
        <v>650</v>
      </c>
      <c r="U881" s="282">
        <v>650</v>
      </c>
    </row>
    <row r="882" spans="1:21" ht="17.25" hidden="1" customHeight="1">
      <c r="A882" s="34"/>
      <c r="B882" s="26" t="s">
        <v>165</v>
      </c>
      <c r="C882" s="12"/>
      <c r="D882" s="69">
        <f t="shared" ref="D882:U882" si="1388">D883</f>
        <v>176</v>
      </c>
      <c r="E882" s="69">
        <f t="shared" si="1388"/>
        <v>6</v>
      </c>
      <c r="F882" s="69">
        <f t="shared" si="1388"/>
        <v>6</v>
      </c>
      <c r="G882" s="69">
        <f t="shared" si="1388"/>
        <v>6</v>
      </c>
      <c r="H882" s="69">
        <f t="shared" si="1388"/>
        <v>6</v>
      </c>
      <c r="I882" s="69">
        <f t="shared" si="1388"/>
        <v>61</v>
      </c>
      <c r="J882" s="69">
        <f t="shared" si="1388"/>
        <v>0</v>
      </c>
      <c r="K882" s="69">
        <f t="shared" si="1388"/>
        <v>61</v>
      </c>
      <c r="L882" s="283">
        <f t="shared" si="1388"/>
        <v>0</v>
      </c>
      <c r="M882" s="283">
        <f t="shared" si="1388"/>
        <v>0</v>
      </c>
      <c r="N882" s="283">
        <f t="shared" si="1388"/>
        <v>0</v>
      </c>
      <c r="O882" s="283">
        <f t="shared" si="1388"/>
        <v>0</v>
      </c>
      <c r="P882" s="283">
        <f t="shared" si="1388"/>
        <v>0</v>
      </c>
      <c r="Q882" s="117">
        <f t="shared" si="1336"/>
        <v>0</v>
      </c>
      <c r="R882" s="117">
        <f t="shared" si="1337"/>
        <v>0</v>
      </c>
      <c r="S882" s="283">
        <f t="shared" si="1388"/>
        <v>0</v>
      </c>
      <c r="T882" s="283">
        <f t="shared" si="1388"/>
        <v>0</v>
      </c>
      <c r="U882" s="283">
        <f t="shared" si="1388"/>
        <v>0</v>
      </c>
    </row>
    <row r="883" spans="1:21" ht="17.25" hidden="1" customHeight="1">
      <c r="A883" s="34"/>
      <c r="B883" s="33" t="s">
        <v>194</v>
      </c>
      <c r="C883" s="12">
        <v>70</v>
      </c>
      <c r="D883" s="68">
        <v>176</v>
      </c>
      <c r="E883" s="197">
        <v>6</v>
      </c>
      <c r="F883" s="68">
        <v>6</v>
      </c>
      <c r="G883" s="68">
        <v>6</v>
      </c>
      <c r="H883" s="68">
        <v>6</v>
      </c>
      <c r="I883" s="197">
        <v>61</v>
      </c>
      <c r="J883" s="197"/>
      <c r="K883" s="197">
        <v>61</v>
      </c>
      <c r="L883" s="282">
        <v>0</v>
      </c>
      <c r="M883" s="282">
        <v>0</v>
      </c>
      <c r="N883" s="282">
        <v>0</v>
      </c>
      <c r="O883" s="282">
        <v>0</v>
      </c>
      <c r="P883" s="282">
        <v>0</v>
      </c>
      <c r="Q883" s="117">
        <f t="shared" si="1336"/>
        <v>0</v>
      </c>
      <c r="R883" s="117">
        <f t="shared" si="1337"/>
        <v>0</v>
      </c>
      <c r="S883" s="282">
        <v>0</v>
      </c>
      <c r="T883" s="282">
        <v>0</v>
      </c>
      <c r="U883" s="282">
        <v>0</v>
      </c>
    </row>
    <row r="884" spans="1:21" ht="15" hidden="1" customHeight="1">
      <c r="A884" s="34" t="s">
        <v>436</v>
      </c>
      <c r="B884" s="26" t="s">
        <v>356</v>
      </c>
      <c r="C884" s="12" t="s">
        <v>357</v>
      </c>
      <c r="D884" s="75"/>
      <c r="E884" s="197"/>
      <c r="F884" s="75"/>
      <c r="G884" s="75"/>
      <c r="H884" s="75"/>
      <c r="I884" s="197"/>
      <c r="J884" s="197"/>
      <c r="K884" s="197"/>
      <c r="L884" s="282"/>
      <c r="M884" s="282"/>
      <c r="N884" s="282"/>
      <c r="O884" s="282"/>
      <c r="P884" s="282"/>
      <c r="Q884" s="117">
        <f t="shared" si="1336"/>
        <v>0</v>
      </c>
      <c r="R884" s="117">
        <f t="shared" si="1337"/>
        <v>0</v>
      </c>
      <c r="S884" s="282"/>
      <c r="T884" s="282"/>
      <c r="U884" s="282"/>
    </row>
    <row r="885" spans="1:21" ht="12.75" hidden="1" customHeight="1">
      <c r="A885" s="34"/>
      <c r="B885" s="24" t="s">
        <v>153</v>
      </c>
      <c r="C885" s="12"/>
      <c r="D885" s="75"/>
      <c r="E885" s="197"/>
      <c r="F885" s="75"/>
      <c r="G885" s="75"/>
      <c r="H885" s="75"/>
      <c r="I885" s="197"/>
      <c r="J885" s="197"/>
      <c r="K885" s="197"/>
      <c r="L885" s="282"/>
      <c r="M885" s="282"/>
      <c r="N885" s="282"/>
      <c r="O885" s="282"/>
      <c r="P885" s="282"/>
      <c r="Q885" s="117">
        <f t="shared" si="1336"/>
        <v>0</v>
      </c>
      <c r="R885" s="117">
        <f t="shared" si="1337"/>
        <v>0</v>
      </c>
      <c r="S885" s="282"/>
      <c r="T885" s="282"/>
      <c r="U885" s="282"/>
    </row>
    <row r="886" spans="1:21" ht="12.75" hidden="1" customHeight="1">
      <c r="A886" s="34"/>
      <c r="B886" s="33" t="s">
        <v>154</v>
      </c>
      <c r="C886" s="12">
        <v>1</v>
      </c>
      <c r="D886" s="68"/>
      <c r="E886" s="197"/>
      <c r="F886" s="68"/>
      <c r="G886" s="68"/>
      <c r="H886" s="68"/>
      <c r="I886" s="197"/>
      <c r="J886" s="197"/>
      <c r="K886" s="197"/>
      <c r="L886" s="282"/>
      <c r="M886" s="282"/>
      <c r="N886" s="282"/>
      <c r="O886" s="282"/>
      <c r="P886" s="282"/>
      <c r="Q886" s="117">
        <f t="shared" si="1336"/>
        <v>0</v>
      </c>
      <c r="R886" s="117">
        <f t="shared" si="1337"/>
        <v>0</v>
      </c>
      <c r="S886" s="282"/>
      <c r="T886" s="282"/>
      <c r="U886" s="282"/>
    </row>
    <row r="887" spans="1:21" ht="12.75" hidden="1" customHeight="1">
      <c r="A887" s="34"/>
      <c r="B887" s="33" t="s">
        <v>155</v>
      </c>
      <c r="C887" s="12">
        <v>10</v>
      </c>
      <c r="D887" s="68"/>
      <c r="E887" s="197"/>
      <c r="F887" s="68"/>
      <c r="G887" s="68"/>
      <c r="H887" s="68"/>
      <c r="I887" s="197"/>
      <c r="J887" s="197"/>
      <c r="K887" s="197"/>
      <c r="L887" s="282"/>
      <c r="M887" s="282"/>
      <c r="N887" s="282"/>
      <c r="O887" s="282"/>
      <c r="P887" s="282"/>
      <c r="Q887" s="117">
        <f t="shared" si="1336"/>
        <v>0</v>
      </c>
      <c r="R887" s="117">
        <f t="shared" si="1337"/>
        <v>0</v>
      </c>
      <c r="S887" s="282"/>
      <c r="T887" s="282"/>
      <c r="U887" s="282"/>
    </row>
    <row r="888" spans="1:21" ht="9" hidden="1" customHeight="1">
      <c r="A888" s="34"/>
      <c r="B888" s="33" t="s">
        <v>156</v>
      </c>
      <c r="C888" s="12">
        <v>20</v>
      </c>
      <c r="D888" s="68"/>
      <c r="E888" s="197"/>
      <c r="F888" s="68"/>
      <c r="G888" s="68"/>
      <c r="H888" s="68"/>
      <c r="I888" s="197"/>
      <c r="J888" s="197"/>
      <c r="K888" s="197"/>
      <c r="L888" s="282"/>
      <c r="M888" s="282"/>
      <c r="N888" s="282"/>
      <c r="O888" s="282"/>
      <c r="P888" s="282"/>
      <c r="Q888" s="117">
        <f t="shared" si="1336"/>
        <v>0</v>
      </c>
      <c r="R888" s="117">
        <f t="shared" si="1337"/>
        <v>0</v>
      </c>
      <c r="S888" s="282"/>
      <c r="T888" s="282"/>
      <c r="U888" s="282"/>
    </row>
    <row r="889" spans="1:21" ht="25.5" customHeight="1">
      <c r="A889" s="34" t="s">
        <v>437</v>
      </c>
      <c r="B889" s="50" t="s">
        <v>522</v>
      </c>
      <c r="C889" s="12" t="s">
        <v>357</v>
      </c>
      <c r="D889" s="73">
        <f t="shared" ref="D889:U889" si="1389">D890+D894</f>
        <v>1805</v>
      </c>
      <c r="E889" s="73">
        <f t="shared" ref="E889:F889" si="1390">E890+E894</f>
        <v>2027</v>
      </c>
      <c r="F889" s="73">
        <f t="shared" si="1390"/>
        <v>2384</v>
      </c>
      <c r="G889" s="73">
        <f t="shared" si="1389"/>
        <v>2300</v>
      </c>
      <c r="H889" s="73">
        <f t="shared" si="1389"/>
        <v>2384</v>
      </c>
      <c r="I889" s="73">
        <f t="shared" si="1389"/>
        <v>2423</v>
      </c>
      <c r="J889" s="73">
        <f t="shared" si="1389"/>
        <v>2090</v>
      </c>
      <c r="K889" s="73">
        <f t="shared" ref="K889:L889" si="1391">K890+K894</f>
        <v>2395</v>
      </c>
      <c r="L889" s="292">
        <f t="shared" si="1391"/>
        <v>1950</v>
      </c>
      <c r="M889" s="292">
        <f t="shared" ref="M889:P889" si="1392">M890+M894</f>
        <v>520</v>
      </c>
      <c r="N889" s="292">
        <f t="shared" si="1392"/>
        <v>500</v>
      </c>
      <c r="O889" s="292">
        <f t="shared" si="1392"/>
        <v>500</v>
      </c>
      <c r="P889" s="292">
        <f t="shared" si="1392"/>
        <v>430</v>
      </c>
      <c r="Q889" s="117">
        <f t="shared" si="1336"/>
        <v>1950</v>
      </c>
      <c r="R889" s="117">
        <f t="shared" si="1337"/>
        <v>0</v>
      </c>
      <c r="S889" s="292">
        <f t="shared" si="1389"/>
        <v>1950</v>
      </c>
      <c r="T889" s="292">
        <f t="shared" si="1389"/>
        <v>1950</v>
      </c>
      <c r="U889" s="292">
        <f t="shared" si="1389"/>
        <v>1950</v>
      </c>
    </row>
    <row r="890" spans="1:21" ht="12.75" customHeight="1">
      <c r="A890" s="34"/>
      <c r="B890" s="24" t="s">
        <v>153</v>
      </c>
      <c r="C890" s="12"/>
      <c r="D890" s="69">
        <f t="shared" ref="D890:U890" si="1393">D891</f>
        <v>1776</v>
      </c>
      <c r="E890" s="69">
        <f t="shared" si="1393"/>
        <v>2027</v>
      </c>
      <c r="F890" s="69">
        <f t="shared" si="1393"/>
        <v>2324</v>
      </c>
      <c r="G890" s="69">
        <f t="shared" si="1393"/>
        <v>2300</v>
      </c>
      <c r="H890" s="69">
        <f t="shared" si="1393"/>
        <v>2324</v>
      </c>
      <c r="I890" s="69">
        <f t="shared" si="1393"/>
        <v>2363</v>
      </c>
      <c r="J890" s="69">
        <f t="shared" si="1393"/>
        <v>2030</v>
      </c>
      <c r="K890" s="69">
        <f t="shared" si="1393"/>
        <v>2335</v>
      </c>
      <c r="L890" s="283">
        <f t="shared" si="1393"/>
        <v>1950</v>
      </c>
      <c r="M890" s="283">
        <f t="shared" si="1393"/>
        <v>520</v>
      </c>
      <c r="N890" s="283">
        <f t="shared" si="1393"/>
        <v>500</v>
      </c>
      <c r="O890" s="283">
        <f t="shared" si="1393"/>
        <v>500</v>
      </c>
      <c r="P890" s="283">
        <f t="shared" si="1393"/>
        <v>430</v>
      </c>
      <c r="Q890" s="117">
        <f t="shared" si="1336"/>
        <v>1950</v>
      </c>
      <c r="R890" s="117">
        <f t="shared" si="1337"/>
        <v>0</v>
      </c>
      <c r="S890" s="283">
        <f t="shared" si="1393"/>
        <v>1950</v>
      </c>
      <c r="T890" s="283">
        <f t="shared" si="1393"/>
        <v>1950</v>
      </c>
      <c r="U890" s="283">
        <f t="shared" si="1393"/>
        <v>1950</v>
      </c>
    </row>
    <row r="891" spans="1:21" ht="12.75" customHeight="1">
      <c r="A891" s="34"/>
      <c r="B891" s="33" t="s">
        <v>154</v>
      </c>
      <c r="C891" s="12">
        <v>1</v>
      </c>
      <c r="D891" s="69">
        <f t="shared" ref="D891:U891" si="1394">D892+D893</f>
        <v>1776</v>
      </c>
      <c r="E891" s="69">
        <f t="shared" ref="E891:F891" si="1395">E892+E893</f>
        <v>2027</v>
      </c>
      <c r="F891" s="69">
        <f t="shared" si="1395"/>
        <v>2324</v>
      </c>
      <c r="G891" s="69">
        <f t="shared" si="1394"/>
        <v>2300</v>
      </c>
      <c r="H891" s="69">
        <f t="shared" si="1394"/>
        <v>2324</v>
      </c>
      <c r="I891" s="69">
        <f t="shared" si="1394"/>
        <v>2363</v>
      </c>
      <c r="J891" s="69">
        <f t="shared" si="1394"/>
        <v>2030</v>
      </c>
      <c r="K891" s="69">
        <f t="shared" ref="K891:L891" si="1396">K892+K893</f>
        <v>2335</v>
      </c>
      <c r="L891" s="283">
        <f t="shared" si="1396"/>
        <v>1950</v>
      </c>
      <c r="M891" s="283">
        <f t="shared" ref="M891:P891" si="1397">M892+M893</f>
        <v>520</v>
      </c>
      <c r="N891" s="283">
        <f t="shared" si="1397"/>
        <v>500</v>
      </c>
      <c r="O891" s="283">
        <f t="shared" si="1397"/>
        <v>500</v>
      </c>
      <c r="P891" s="283">
        <f t="shared" si="1397"/>
        <v>430</v>
      </c>
      <c r="Q891" s="117">
        <f t="shared" si="1336"/>
        <v>1950</v>
      </c>
      <c r="R891" s="117">
        <f t="shared" si="1337"/>
        <v>0</v>
      </c>
      <c r="S891" s="283">
        <f t="shared" si="1394"/>
        <v>1950</v>
      </c>
      <c r="T891" s="283">
        <f t="shared" si="1394"/>
        <v>1950</v>
      </c>
      <c r="U891" s="283">
        <f t="shared" si="1394"/>
        <v>1950</v>
      </c>
    </row>
    <row r="892" spans="1:21" ht="12.75" customHeight="1">
      <c r="A892" s="34"/>
      <c r="B892" s="33" t="s">
        <v>155</v>
      </c>
      <c r="C892" s="12">
        <v>10</v>
      </c>
      <c r="D892" s="68">
        <v>1342</v>
      </c>
      <c r="E892" s="197">
        <v>1591</v>
      </c>
      <c r="F892" s="68">
        <v>1791</v>
      </c>
      <c r="G892" s="68">
        <v>1800</v>
      </c>
      <c r="H892" s="68">
        <v>1791</v>
      </c>
      <c r="I892" s="197">
        <v>1800</v>
      </c>
      <c r="J892" s="197">
        <v>1600</v>
      </c>
      <c r="K892" s="197">
        <v>1772</v>
      </c>
      <c r="L892" s="282">
        <v>1600</v>
      </c>
      <c r="M892" s="282">
        <v>420</v>
      </c>
      <c r="N892" s="282">
        <v>400</v>
      </c>
      <c r="O892" s="282">
        <v>400</v>
      </c>
      <c r="P892" s="282">
        <v>380</v>
      </c>
      <c r="Q892" s="117">
        <f t="shared" si="1336"/>
        <v>1600</v>
      </c>
      <c r="R892" s="117">
        <f t="shared" si="1337"/>
        <v>0</v>
      </c>
      <c r="S892" s="282">
        <v>1600</v>
      </c>
      <c r="T892" s="282">
        <v>1600</v>
      </c>
      <c r="U892" s="282">
        <v>1600</v>
      </c>
    </row>
    <row r="893" spans="1:21" ht="14.25" customHeight="1">
      <c r="A893" s="34"/>
      <c r="B893" s="33" t="s">
        <v>588</v>
      </c>
      <c r="C893" s="12">
        <v>20</v>
      </c>
      <c r="D893" s="68">
        <v>434</v>
      </c>
      <c r="E893" s="197">
        <v>436</v>
      </c>
      <c r="F893" s="68">
        <v>533</v>
      </c>
      <c r="G893" s="68">
        <v>500</v>
      </c>
      <c r="H893" s="68">
        <v>533</v>
      </c>
      <c r="I893" s="197">
        <v>563</v>
      </c>
      <c r="J893" s="197">
        <v>430</v>
      </c>
      <c r="K893" s="197">
        <v>563</v>
      </c>
      <c r="L893" s="282">
        <v>350</v>
      </c>
      <c r="M893" s="282">
        <v>100</v>
      </c>
      <c r="N893" s="282">
        <v>100</v>
      </c>
      <c r="O893" s="282">
        <v>100</v>
      </c>
      <c r="P893" s="282">
        <v>50</v>
      </c>
      <c r="Q893" s="117">
        <f t="shared" si="1336"/>
        <v>350</v>
      </c>
      <c r="R893" s="117">
        <f t="shared" si="1337"/>
        <v>0</v>
      </c>
      <c r="S893" s="282">
        <v>350</v>
      </c>
      <c r="T893" s="282">
        <v>350</v>
      </c>
      <c r="U893" s="282">
        <v>350</v>
      </c>
    </row>
    <row r="894" spans="1:21" ht="14.25" hidden="1" customHeight="1">
      <c r="A894" s="34"/>
      <c r="B894" s="26" t="s">
        <v>165</v>
      </c>
      <c r="C894" s="12"/>
      <c r="D894" s="69">
        <f t="shared" ref="D894:U894" si="1398">D895</f>
        <v>29</v>
      </c>
      <c r="E894" s="69">
        <f t="shared" si="1398"/>
        <v>0</v>
      </c>
      <c r="F894" s="69">
        <f t="shared" si="1398"/>
        <v>60</v>
      </c>
      <c r="G894" s="69">
        <f t="shared" si="1398"/>
        <v>0</v>
      </c>
      <c r="H894" s="69">
        <f t="shared" si="1398"/>
        <v>60</v>
      </c>
      <c r="I894" s="69">
        <f t="shared" si="1398"/>
        <v>60</v>
      </c>
      <c r="J894" s="69">
        <f t="shared" si="1398"/>
        <v>60</v>
      </c>
      <c r="K894" s="69">
        <f t="shared" si="1398"/>
        <v>60</v>
      </c>
      <c r="L894" s="283">
        <f t="shared" si="1398"/>
        <v>0</v>
      </c>
      <c r="M894" s="283">
        <f t="shared" si="1398"/>
        <v>0</v>
      </c>
      <c r="N894" s="283">
        <f t="shared" si="1398"/>
        <v>0</v>
      </c>
      <c r="O894" s="283">
        <f t="shared" si="1398"/>
        <v>0</v>
      </c>
      <c r="P894" s="283">
        <f t="shared" si="1398"/>
        <v>0</v>
      </c>
      <c r="Q894" s="117">
        <f t="shared" si="1336"/>
        <v>0</v>
      </c>
      <c r="R894" s="117">
        <f t="shared" si="1337"/>
        <v>0</v>
      </c>
      <c r="S894" s="283">
        <f t="shared" si="1398"/>
        <v>0</v>
      </c>
      <c r="T894" s="283">
        <f t="shared" si="1398"/>
        <v>0</v>
      </c>
      <c r="U894" s="283">
        <f t="shared" si="1398"/>
        <v>0</v>
      </c>
    </row>
    <row r="895" spans="1:21" ht="14.25" hidden="1" customHeight="1">
      <c r="A895" s="34"/>
      <c r="B895" s="33" t="s">
        <v>194</v>
      </c>
      <c r="C895" s="12">
        <v>70</v>
      </c>
      <c r="D895" s="68">
        <v>29</v>
      </c>
      <c r="E895" s="197">
        <v>0</v>
      </c>
      <c r="F895" s="68">
        <v>60</v>
      </c>
      <c r="G895" s="68"/>
      <c r="H895" s="68">
        <v>60</v>
      </c>
      <c r="I895" s="197">
        <v>60</v>
      </c>
      <c r="J895" s="197">
        <v>60</v>
      </c>
      <c r="K895" s="197">
        <v>60</v>
      </c>
      <c r="L895" s="282">
        <v>0</v>
      </c>
      <c r="M895" s="282">
        <v>0</v>
      </c>
      <c r="N895" s="282">
        <v>0</v>
      </c>
      <c r="O895" s="282">
        <v>0</v>
      </c>
      <c r="P895" s="282">
        <v>0</v>
      </c>
      <c r="Q895" s="117">
        <f t="shared" si="1336"/>
        <v>0</v>
      </c>
      <c r="R895" s="117">
        <f t="shared" si="1337"/>
        <v>0</v>
      </c>
      <c r="S895" s="282">
        <v>0</v>
      </c>
      <c r="T895" s="282">
        <v>0</v>
      </c>
      <c r="U895" s="282">
        <v>0</v>
      </c>
    </row>
    <row r="896" spans="1:21" ht="20.25" customHeight="1">
      <c r="A896" s="34" t="s">
        <v>438</v>
      </c>
      <c r="B896" s="31" t="s">
        <v>359</v>
      </c>
      <c r="C896" s="12" t="s">
        <v>343</v>
      </c>
      <c r="D896" s="73">
        <f t="shared" ref="D896:U896" si="1399">D897+D901</f>
        <v>1232</v>
      </c>
      <c r="E896" s="73">
        <f t="shared" ref="E896:F896" si="1400">E897+E901</f>
        <v>1308</v>
      </c>
      <c r="F896" s="73">
        <f t="shared" si="1400"/>
        <v>1428</v>
      </c>
      <c r="G896" s="73">
        <f t="shared" si="1399"/>
        <v>1411</v>
      </c>
      <c r="H896" s="73">
        <f t="shared" si="1399"/>
        <v>1428</v>
      </c>
      <c r="I896" s="73">
        <f t="shared" si="1399"/>
        <v>1608</v>
      </c>
      <c r="J896" s="73">
        <f t="shared" si="1399"/>
        <v>1300</v>
      </c>
      <c r="K896" s="73">
        <f t="shared" ref="K896:L896" si="1401">K897+K901</f>
        <v>1934</v>
      </c>
      <c r="L896" s="292">
        <f t="shared" si="1401"/>
        <v>1300</v>
      </c>
      <c r="M896" s="292">
        <f t="shared" ref="M896:P896" si="1402">M897+M901</f>
        <v>359</v>
      </c>
      <c r="N896" s="292">
        <f t="shared" si="1402"/>
        <v>330</v>
      </c>
      <c r="O896" s="292">
        <f t="shared" si="1402"/>
        <v>320</v>
      </c>
      <c r="P896" s="292">
        <f t="shared" si="1402"/>
        <v>291</v>
      </c>
      <c r="Q896" s="117">
        <f t="shared" si="1336"/>
        <v>1300</v>
      </c>
      <c r="R896" s="117">
        <f t="shared" si="1337"/>
        <v>0</v>
      </c>
      <c r="S896" s="292">
        <f t="shared" si="1399"/>
        <v>1300</v>
      </c>
      <c r="T896" s="292">
        <f t="shared" si="1399"/>
        <v>1300</v>
      </c>
      <c r="U896" s="292">
        <f t="shared" si="1399"/>
        <v>1300</v>
      </c>
    </row>
    <row r="897" spans="1:21" ht="12.75" customHeight="1">
      <c r="A897" s="34"/>
      <c r="B897" s="24" t="s">
        <v>153</v>
      </c>
      <c r="C897" s="12"/>
      <c r="D897" s="73">
        <f t="shared" ref="D897:U897" si="1403">D898</f>
        <v>1232</v>
      </c>
      <c r="E897" s="73">
        <f t="shared" si="1403"/>
        <v>1308</v>
      </c>
      <c r="F897" s="73">
        <f t="shared" si="1403"/>
        <v>1428</v>
      </c>
      <c r="G897" s="73">
        <f t="shared" si="1403"/>
        <v>1411</v>
      </c>
      <c r="H897" s="73">
        <f t="shared" si="1403"/>
        <v>1428</v>
      </c>
      <c r="I897" s="73">
        <f t="shared" si="1403"/>
        <v>1608</v>
      </c>
      <c r="J897" s="73">
        <f t="shared" si="1403"/>
        <v>1300</v>
      </c>
      <c r="K897" s="73">
        <f t="shared" si="1403"/>
        <v>1934</v>
      </c>
      <c r="L897" s="292">
        <f t="shared" si="1403"/>
        <v>1300</v>
      </c>
      <c r="M897" s="292">
        <f t="shared" si="1403"/>
        <v>359</v>
      </c>
      <c r="N897" s="292">
        <f t="shared" si="1403"/>
        <v>330</v>
      </c>
      <c r="O897" s="292">
        <f t="shared" si="1403"/>
        <v>320</v>
      </c>
      <c r="P897" s="292">
        <f t="shared" si="1403"/>
        <v>291</v>
      </c>
      <c r="Q897" s="117">
        <f t="shared" si="1336"/>
        <v>1300</v>
      </c>
      <c r="R897" s="117">
        <f t="shared" si="1337"/>
        <v>0</v>
      </c>
      <c r="S897" s="292">
        <f t="shared" si="1403"/>
        <v>1300</v>
      </c>
      <c r="T897" s="292">
        <f t="shared" si="1403"/>
        <v>1300</v>
      </c>
      <c r="U897" s="292">
        <f t="shared" si="1403"/>
        <v>1300</v>
      </c>
    </row>
    <row r="898" spans="1:21" ht="12.75" customHeight="1">
      <c r="A898" s="34"/>
      <c r="B898" s="33" t="s">
        <v>154</v>
      </c>
      <c r="C898" s="12">
        <v>1</v>
      </c>
      <c r="D898" s="69">
        <f t="shared" ref="D898:U898" si="1404">D899+D900</f>
        <v>1232</v>
      </c>
      <c r="E898" s="69">
        <f t="shared" ref="E898:F898" si="1405">E899+E900</f>
        <v>1308</v>
      </c>
      <c r="F898" s="69">
        <f t="shared" si="1405"/>
        <v>1428</v>
      </c>
      <c r="G898" s="69">
        <f t="shared" si="1404"/>
        <v>1411</v>
      </c>
      <c r="H898" s="69">
        <f t="shared" si="1404"/>
        <v>1428</v>
      </c>
      <c r="I898" s="69">
        <f t="shared" si="1404"/>
        <v>1608</v>
      </c>
      <c r="J898" s="69">
        <f t="shared" si="1404"/>
        <v>1300</v>
      </c>
      <c r="K898" s="69">
        <f t="shared" ref="K898:L898" si="1406">K899+K900</f>
        <v>1934</v>
      </c>
      <c r="L898" s="283">
        <f t="shared" si="1406"/>
        <v>1300</v>
      </c>
      <c r="M898" s="283">
        <f t="shared" ref="M898:P898" si="1407">M899+M900</f>
        <v>359</v>
      </c>
      <c r="N898" s="283">
        <f t="shared" si="1407"/>
        <v>330</v>
      </c>
      <c r="O898" s="283">
        <f t="shared" si="1407"/>
        <v>320</v>
      </c>
      <c r="P898" s="283">
        <f t="shared" si="1407"/>
        <v>291</v>
      </c>
      <c r="Q898" s="117">
        <f t="shared" si="1336"/>
        <v>1300</v>
      </c>
      <c r="R898" s="117">
        <f t="shared" si="1337"/>
        <v>0</v>
      </c>
      <c r="S898" s="283">
        <f t="shared" si="1404"/>
        <v>1300</v>
      </c>
      <c r="T898" s="283">
        <f t="shared" si="1404"/>
        <v>1300</v>
      </c>
      <c r="U898" s="283">
        <f t="shared" si="1404"/>
        <v>1300</v>
      </c>
    </row>
    <row r="899" spans="1:21" ht="12.75" customHeight="1">
      <c r="A899" s="34"/>
      <c r="B899" s="33" t="s">
        <v>155</v>
      </c>
      <c r="C899" s="12">
        <v>10</v>
      </c>
      <c r="D899" s="68">
        <v>867</v>
      </c>
      <c r="E899" s="197">
        <v>959</v>
      </c>
      <c r="F899" s="68">
        <v>1050</v>
      </c>
      <c r="G899" s="68">
        <v>1036</v>
      </c>
      <c r="H899" s="68">
        <v>1050</v>
      </c>
      <c r="I899" s="197">
        <v>1199</v>
      </c>
      <c r="J899" s="197">
        <v>1000</v>
      </c>
      <c r="K899" s="197">
        <v>1525</v>
      </c>
      <c r="L899" s="282">
        <v>1000</v>
      </c>
      <c r="M899" s="282">
        <v>260</v>
      </c>
      <c r="N899" s="282">
        <v>260</v>
      </c>
      <c r="O899" s="282">
        <v>250</v>
      </c>
      <c r="P899" s="282">
        <v>230</v>
      </c>
      <c r="Q899" s="117">
        <f t="shared" si="1336"/>
        <v>1000</v>
      </c>
      <c r="R899" s="117">
        <f t="shared" si="1337"/>
        <v>0</v>
      </c>
      <c r="S899" s="282">
        <v>1000</v>
      </c>
      <c r="T899" s="282">
        <v>1000</v>
      </c>
      <c r="U899" s="282">
        <v>1000</v>
      </c>
    </row>
    <row r="900" spans="1:21" ht="15.75" customHeight="1">
      <c r="A900" s="34"/>
      <c r="B900" s="33" t="s">
        <v>588</v>
      </c>
      <c r="C900" s="12">
        <v>20</v>
      </c>
      <c r="D900" s="68">
        <v>365</v>
      </c>
      <c r="E900" s="197">
        <v>349</v>
      </c>
      <c r="F900" s="68">
        <v>378</v>
      </c>
      <c r="G900" s="68">
        <v>375</v>
      </c>
      <c r="H900" s="68">
        <v>378</v>
      </c>
      <c r="I900" s="197">
        <v>409</v>
      </c>
      <c r="J900" s="197">
        <v>300</v>
      </c>
      <c r="K900" s="197">
        <v>409</v>
      </c>
      <c r="L900" s="282">
        <v>300</v>
      </c>
      <c r="M900" s="282">
        <v>99</v>
      </c>
      <c r="N900" s="282">
        <v>70</v>
      </c>
      <c r="O900" s="282">
        <v>70</v>
      </c>
      <c r="P900" s="282">
        <v>61</v>
      </c>
      <c r="Q900" s="117">
        <f t="shared" si="1336"/>
        <v>300</v>
      </c>
      <c r="R900" s="117">
        <f t="shared" si="1337"/>
        <v>0</v>
      </c>
      <c r="S900" s="282">
        <v>300</v>
      </c>
      <c r="T900" s="282">
        <v>300</v>
      </c>
      <c r="U900" s="282">
        <v>300</v>
      </c>
    </row>
    <row r="901" spans="1:21" ht="12.75" hidden="1" customHeight="1">
      <c r="A901" s="34"/>
      <c r="B901" s="26" t="s">
        <v>165</v>
      </c>
      <c r="C901" s="12"/>
      <c r="D901" s="73">
        <f t="shared" ref="D901:H901" si="1408">D902</f>
        <v>0</v>
      </c>
      <c r="E901" s="197"/>
      <c r="F901" s="73">
        <f t="shared" si="1408"/>
        <v>0</v>
      </c>
      <c r="G901" s="73">
        <f t="shared" si="1408"/>
        <v>0</v>
      </c>
      <c r="H901" s="73">
        <f t="shared" si="1408"/>
        <v>0</v>
      </c>
      <c r="I901" s="197"/>
      <c r="J901" s="197"/>
      <c r="K901" s="197">
        <f>K902</f>
        <v>0</v>
      </c>
      <c r="L901" s="282">
        <f t="shared" ref="L901:U901" si="1409">L902</f>
        <v>0</v>
      </c>
      <c r="M901" s="282">
        <f t="shared" si="1409"/>
        <v>0</v>
      </c>
      <c r="N901" s="282">
        <f t="shared" si="1409"/>
        <v>0</v>
      </c>
      <c r="O901" s="282">
        <f t="shared" si="1409"/>
        <v>0</v>
      </c>
      <c r="P901" s="282">
        <f t="shared" si="1409"/>
        <v>0</v>
      </c>
      <c r="Q901" s="117">
        <f t="shared" si="1336"/>
        <v>0</v>
      </c>
      <c r="R901" s="117">
        <f t="shared" si="1337"/>
        <v>0</v>
      </c>
      <c r="S901" s="282">
        <f t="shared" si="1409"/>
        <v>0</v>
      </c>
      <c r="T901" s="282">
        <f t="shared" si="1409"/>
        <v>0</v>
      </c>
      <c r="U901" s="282">
        <f t="shared" si="1409"/>
        <v>0</v>
      </c>
    </row>
    <row r="902" spans="1:21" ht="12.75" hidden="1" customHeight="1">
      <c r="A902" s="34"/>
      <c r="B902" s="33" t="s">
        <v>194</v>
      </c>
      <c r="C902" s="12">
        <v>70</v>
      </c>
      <c r="D902" s="68"/>
      <c r="E902" s="197"/>
      <c r="F902" s="68"/>
      <c r="G902" s="68"/>
      <c r="H902" s="68"/>
      <c r="I902" s="197"/>
      <c r="J902" s="197"/>
      <c r="K902" s="197"/>
      <c r="L902" s="282">
        <v>0</v>
      </c>
      <c r="M902" s="282">
        <v>0</v>
      </c>
      <c r="N902" s="282">
        <v>0</v>
      </c>
      <c r="O902" s="282">
        <v>0</v>
      </c>
      <c r="P902" s="282">
        <v>0</v>
      </c>
      <c r="Q902" s="117">
        <f t="shared" si="1336"/>
        <v>0</v>
      </c>
      <c r="R902" s="117">
        <f t="shared" si="1337"/>
        <v>0</v>
      </c>
      <c r="S902" s="282"/>
      <c r="T902" s="282"/>
      <c r="U902" s="282"/>
    </row>
    <row r="903" spans="1:21" ht="30.75" customHeight="1">
      <c r="A903" s="34" t="s">
        <v>360</v>
      </c>
      <c r="B903" s="31" t="s">
        <v>601</v>
      </c>
      <c r="C903" s="12" t="s">
        <v>732</v>
      </c>
      <c r="D903" s="73">
        <f t="shared" ref="D903:U906" si="1410">D910+D919+D928+D938+D947</f>
        <v>12775</v>
      </c>
      <c r="E903" s="73">
        <f t="shared" ref="E903:F903" si="1411">E910+E919+E928+E938+E947</f>
        <v>12236</v>
      </c>
      <c r="F903" s="73">
        <f t="shared" si="1411"/>
        <v>12848</v>
      </c>
      <c r="G903" s="73">
        <f t="shared" si="1410"/>
        <v>13501</v>
      </c>
      <c r="H903" s="73">
        <f t="shared" si="1410"/>
        <v>12848</v>
      </c>
      <c r="I903" s="73">
        <f t="shared" si="1410"/>
        <v>14274</v>
      </c>
      <c r="J903" s="73">
        <f t="shared" si="1410"/>
        <v>11765</v>
      </c>
      <c r="K903" s="73">
        <f t="shared" ref="K903:L903" si="1412">K910+K919+K928+K938+K947</f>
        <v>13541</v>
      </c>
      <c r="L903" s="292">
        <f t="shared" si="1412"/>
        <v>12389</v>
      </c>
      <c r="M903" s="292">
        <f t="shared" ref="M903:P903" si="1413">M910+M919+M928+M938+M947</f>
        <v>3204</v>
      </c>
      <c r="N903" s="292">
        <f t="shared" si="1413"/>
        <v>3100</v>
      </c>
      <c r="O903" s="292">
        <f t="shared" si="1413"/>
        <v>3110</v>
      </c>
      <c r="P903" s="292">
        <f t="shared" si="1413"/>
        <v>2975</v>
      </c>
      <c r="Q903" s="117">
        <f t="shared" si="1336"/>
        <v>12389</v>
      </c>
      <c r="R903" s="117">
        <f t="shared" si="1337"/>
        <v>0</v>
      </c>
      <c r="S903" s="292">
        <f t="shared" si="1410"/>
        <v>12602</v>
      </c>
      <c r="T903" s="292">
        <f t="shared" si="1410"/>
        <v>13203</v>
      </c>
      <c r="U903" s="292">
        <f t="shared" si="1410"/>
        <v>13203</v>
      </c>
    </row>
    <row r="904" spans="1:21" ht="14.25">
      <c r="A904" s="34"/>
      <c r="B904" s="24" t="s">
        <v>153</v>
      </c>
      <c r="C904" s="12"/>
      <c r="D904" s="73">
        <f t="shared" si="1410"/>
        <v>10955</v>
      </c>
      <c r="E904" s="73">
        <f t="shared" ref="E904:F904" si="1414">E911+E920+E929+E939+E948</f>
        <v>11991</v>
      </c>
      <c r="F904" s="73">
        <f t="shared" si="1414"/>
        <v>12484</v>
      </c>
      <c r="G904" s="73">
        <f t="shared" si="1410"/>
        <v>13303</v>
      </c>
      <c r="H904" s="73">
        <f t="shared" si="1410"/>
        <v>12484</v>
      </c>
      <c r="I904" s="73">
        <f t="shared" si="1410"/>
        <v>13748</v>
      </c>
      <c r="J904" s="73">
        <f t="shared" si="1410"/>
        <v>11765</v>
      </c>
      <c r="K904" s="73">
        <f t="shared" ref="K904:L904" si="1415">K911+K920+K929+K939+K948</f>
        <v>13015</v>
      </c>
      <c r="L904" s="292">
        <f t="shared" si="1415"/>
        <v>12345</v>
      </c>
      <c r="M904" s="292">
        <f t="shared" ref="M904:P904" si="1416">M911+M920+M929+M939+M948</f>
        <v>3160</v>
      </c>
      <c r="N904" s="292">
        <f t="shared" si="1416"/>
        <v>3100</v>
      </c>
      <c r="O904" s="292">
        <f t="shared" si="1416"/>
        <v>3110</v>
      </c>
      <c r="P904" s="292">
        <f t="shared" si="1416"/>
        <v>2975</v>
      </c>
      <c r="Q904" s="117">
        <f t="shared" si="1336"/>
        <v>12345</v>
      </c>
      <c r="R904" s="117">
        <f t="shared" si="1337"/>
        <v>0</v>
      </c>
      <c r="S904" s="292">
        <f t="shared" si="1410"/>
        <v>12602</v>
      </c>
      <c r="T904" s="292">
        <f t="shared" si="1410"/>
        <v>13203</v>
      </c>
      <c r="U904" s="292">
        <f t="shared" si="1410"/>
        <v>13203</v>
      </c>
    </row>
    <row r="905" spans="1:21" ht="14.25">
      <c r="A905" s="34"/>
      <c r="B905" s="26" t="s">
        <v>154</v>
      </c>
      <c r="C905" s="84">
        <v>1</v>
      </c>
      <c r="D905" s="73">
        <f t="shared" si="1410"/>
        <v>10955</v>
      </c>
      <c r="E905" s="73">
        <f t="shared" ref="E905:F905" si="1417">E912+E921+E930+E940+E949</f>
        <v>11991</v>
      </c>
      <c r="F905" s="73">
        <f t="shared" si="1417"/>
        <v>12484</v>
      </c>
      <c r="G905" s="73">
        <f t="shared" si="1410"/>
        <v>13303</v>
      </c>
      <c r="H905" s="73">
        <f t="shared" si="1410"/>
        <v>12484</v>
      </c>
      <c r="I905" s="73">
        <f t="shared" si="1410"/>
        <v>13748</v>
      </c>
      <c r="J905" s="73">
        <f t="shared" si="1410"/>
        <v>11765</v>
      </c>
      <c r="K905" s="73">
        <f t="shared" ref="K905:L905" si="1418">K912+K921+K930+K940+K949</f>
        <v>13015</v>
      </c>
      <c r="L905" s="292">
        <f t="shared" si="1418"/>
        <v>12345</v>
      </c>
      <c r="M905" s="292">
        <f t="shared" ref="M905:P905" si="1419">M912+M921+M930+M940+M949</f>
        <v>3160</v>
      </c>
      <c r="N905" s="292">
        <f t="shared" si="1419"/>
        <v>3100</v>
      </c>
      <c r="O905" s="292">
        <f t="shared" si="1419"/>
        <v>3110</v>
      </c>
      <c r="P905" s="292">
        <f t="shared" si="1419"/>
        <v>2975</v>
      </c>
      <c r="Q905" s="117">
        <f t="shared" si="1336"/>
        <v>12345</v>
      </c>
      <c r="R905" s="117">
        <f t="shared" si="1337"/>
        <v>0</v>
      </c>
      <c r="S905" s="292">
        <f t="shared" si="1410"/>
        <v>12602</v>
      </c>
      <c r="T905" s="292">
        <f t="shared" si="1410"/>
        <v>13203</v>
      </c>
      <c r="U905" s="292">
        <f t="shared" si="1410"/>
        <v>13203</v>
      </c>
    </row>
    <row r="906" spans="1:21" ht="14.25">
      <c r="A906" s="34"/>
      <c r="B906" s="26" t="s">
        <v>251</v>
      </c>
      <c r="C906" s="84" t="s">
        <v>293</v>
      </c>
      <c r="D906" s="73">
        <f t="shared" si="1410"/>
        <v>10955</v>
      </c>
      <c r="E906" s="73">
        <f t="shared" ref="E906:F906" si="1420">E913+E922+E931+E941+E950</f>
        <v>11991</v>
      </c>
      <c r="F906" s="73">
        <f t="shared" si="1420"/>
        <v>12484</v>
      </c>
      <c r="G906" s="73">
        <f t="shared" si="1410"/>
        <v>13303</v>
      </c>
      <c r="H906" s="73">
        <f t="shared" si="1410"/>
        <v>12484</v>
      </c>
      <c r="I906" s="73">
        <f t="shared" si="1410"/>
        <v>13748</v>
      </c>
      <c r="J906" s="73">
        <f t="shared" si="1410"/>
        <v>11765</v>
      </c>
      <c r="K906" s="73">
        <f t="shared" ref="K906:L906" si="1421">K913+K922+K931+K941+K950</f>
        <v>13015</v>
      </c>
      <c r="L906" s="292">
        <f t="shared" si="1421"/>
        <v>12345</v>
      </c>
      <c r="M906" s="292">
        <f t="shared" ref="M906:P906" si="1422">M913+M922+M931+M941+M950</f>
        <v>3160</v>
      </c>
      <c r="N906" s="292">
        <f t="shared" si="1422"/>
        <v>3100</v>
      </c>
      <c r="O906" s="292">
        <f t="shared" si="1422"/>
        <v>3110</v>
      </c>
      <c r="P906" s="292">
        <f t="shared" si="1422"/>
        <v>2975</v>
      </c>
      <c r="Q906" s="117">
        <f t="shared" si="1336"/>
        <v>12345</v>
      </c>
      <c r="R906" s="117">
        <f t="shared" si="1337"/>
        <v>0</v>
      </c>
      <c r="S906" s="292">
        <f t="shared" si="1410"/>
        <v>12602</v>
      </c>
      <c r="T906" s="292">
        <f t="shared" si="1410"/>
        <v>13203</v>
      </c>
      <c r="U906" s="292">
        <f t="shared" si="1410"/>
        <v>13203</v>
      </c>
    </row>
    <row r="907" spans="1:21" ht="14.25">
      <c r="A907" s="34"/>
      <c r="B907" s="26" t="s">
        <v>513</v>
      </c>
      <c r="C907" s="84">
        <v>85.01</v>
      </c>
      <c r="D907" s="73">
        <f t="shared" ref="D907:U907" si="1423">D925</f>
        <v>0</v>
      </c>
      <c r="E907" s="73">
        <f t="shared" ref="E907:F907" si="1424">E925</f>
        <v>0</v>
      </c>
      <c r="F907" s="73">
        <f t="shared" si="1424"/>
        <v>0</v>
      </c>
      <c r="G907" s="73">
        <f t="shared" si="1423"/>
        <v>0</v>
      </c>
      <c r="H907" s="73">
        <f t="shared" si="1423"/>
        <v>0</v>
      </c>
      <c r="I907" s="73">
        <f t="shared" si="1423"/>
        <v>0</v>
      </c>
      <c r="J907" s="73">
        <f t="shared" si="1423"/>
        <v>0</v>
      </c>
      <c r="K907" s="73">
        <f t="shared" ref="K907:L907" si="1425">K925</f>
        <v>0</v>
      </c>
      <c r="L907" s="292">
        <f t="shared" si="1425"/>
        <v>0</v>
      </c>
      <c r="M907" s="292">
        <f t="shared" ref="M907:P907" si="1426">M925</f>
        <v>0</v>
      </c>
      <c r="N907" s="292">
        <f t="shared" si="1426"/>
        <v>0</v>
      </c>
      <c r="O907" s="292">
        <f t="shared" si="1426"/>
        <v>0</v>
      </c>
      <c r="P907" s="292">
        <f t="shared" si="1426"/>
        <v>0</v>
      </c>
      <c r="Q907" s="117">
        <f t="shared" si="1336"/>
        <v>0</v>
      </c>
      <c r="R907" s="117">
        <f t="shared" si="1337"/>
        <v>0</v>
      </c>
      <c r="S907" s="292">
        <f t="shared" si="1423"/>
        <v>0</v>
      </c>
      <c r="T907" s="292">
        <f t="shared" si="1423"/>
        <v>0</v>
      </c>
      <c r="U907" s="292">
        <f t="shared" si="1423"/>
        <v>0</v>
      </c>
    </row>
    <row r="908" spans="1:21" ht="14.25">
      <c r="A908" s="34"/>
      <c r="B908" s="26" t="s">
        <v>165</v>
      </c>
      <c r="C908" s="12"/>
      <c r="D908" s="73">
        <f t="shared" ref="D908:U908" si="1427">D917+D926+D936+D945+D953</f>
        <v>1820</v>
      </c>
      <c r="E908" s="73">
        <f t="shared" ref="E908:F908" si="1428">E917+E926+E936+E945+E953</f>
        <v>245</v>
      </c>
      <c r="F908" s="73">
        <f t="shared" si="1428"/>
        <v>364</v>
      </c>
      <c r="G908" s="73">
        <f t="shared" si="1427"/>
        <v>198</v>
      </c>
      <c r="H908" s="73">
        <f t="shared" si="1427"/>
        <v>364</v>
      </c>
      <c r="I908" s="73">
        <f t="shared" si="1427"/>
        <v>526</v>
      </c>
      <c r="J908" s="73">
        <f t="shared" si="1427"/>
        <v>0</v>
      </c>
      <c r="K908" s="73">
        <f t="shared" ref="K908:L908" si="1429">K917+K926+K936+K945+K953</f>
        <v>526</v>
      </c>
      <c r="L908" s="292">
        <f t="shared" si="1429"/>
        <v>44</v>
      </c>
      <c r="M908" s="292">
        <f t="shared" ref="M908:P908" si="1430">M917+M926+M936+M945+M953</f>
        <v>44</v>
      </c>
      <c r="N908" s="292">
        <f t="shared" si="1430"/>
        <v>0</v>
      </c>
      <c r="O908" s="292">
        <f t="shared" si="1430"/>
        <v>0</v>
      </c>
      <c r="P908" s="292">
        <f t="shared" si="1430"/>
        <v>0</v>
      </c>
      <c r="Q908" s="117">
        <f t="shared" si="1336"/>
        <v>44</v>
      </c>
      <c r="R908" s="117">
        <f t="shared" si="1337"/>
        <v>0</v>
      </c>
      <c r="S908" s="292">
        <f t="shared" si="1427"/>
        <v>0</v>
      </c>
      <c r="T908" s="292">
        <f t="shared" si="1427"/>
        <v>0</v>
      </c>
      <c r="U908" s="292">
        <f t="shared" si="1427"/>
        <v>0</v>
      </c>
    </row>
    <row r="909" spans="1:21" ht="28.5">
      <c r="A909" s="34"/>
      <c r="B909" s="31" t="s">
        <v>171</v>
      </c>
      <c r="C909" s="84">
        <v>51</v>
      </c>
      <c r="D909" s="69">
        <f t="shared" ref="D909:U909" si="1431">D918+D927+D937+D945+D953</f>
        <v>1820</v>
      </c>
      <c r="E909" s="69">
        <f t="shared" ref="E909:F909" si="1432">E918+E927+E937+E945+E953</f>
        <v>245</v>
      </c>
      <c r="F909" s="69">
        <f t="shared" si="1432"/>
        <v>364</v>
      </c>
      <c r="G909" s="69">
        <f t="shared" si="1431"/>
        <v>198</v>
      </c>
      <c r="H909" s="69">
        <f t="shared" si="1431"/>
        <v>364</v>
      </c>
      <c r="I909" s="69">
        <f t="shared" si="1431"/>
        <v>526</v>
      </c>
      <c r="J909" s="69">
        <f t="shared" si="1431"/>
        <v>0</v>
      </c>
      <c r="K909" s="69">
        <f t="shared" ref="K909:L909" si="1433">K918+K927+K937+K945+K953</f>
        <v>526</v>
      </c>
      <c r="L909" s="283">
        <f t="shared" si="1433"/>
        <v>44</v>
      </c>
      <c r="M909" s="283">
        <f t="shared" ref="M909:P909" si="1434">M918+M927+M937+M945+M953</f>
        <v>44</v>
      </c>
      <c r="N909" s="283">
        <f t="shared" si="1434"/>
        <v>0</v>
      </c>
      <c r="O909" s="283">
        <f t="shared" si="1434"/>
        <v>0</v>
      </c>
      <c r="P909" s="283">
        <f t="shared" si="1434"/>
        <v>0</v>
      </c>
      <c r="Q909" s="117">
        <f t="shared" ref="Q909:Q972" si="1435">M909+N909+O909+P909</f>
        <v>44</v>
      </c>
      <c r="R909" s="117">
        <f t="shared" ref="R909:R972" si="1436">L909-Q909</f>
        <v>0</v>
      </c>
      <c r="S909" s="283">
        <f t="shared" si="1431"/>
        <v>0</v>
      </c>
      <c r="T909" s="283">
        <f t="shared" si="1431"/>
        <v>0</v>
      </c>
      <c r="U909" s="283">
        <f t="shared" si="1431"/>
        <v>0</v>
      </c>
    </row>
    <row r="910" spans="1:21" ht="34.5" customHeight="1">
      <c r="A910" s="34" t="s">
        <v>361</v>
      </c>
      <c r="B910" s="50" t="s">
        <v>295</v>
      </c>
      <c r="C910" s="12" t="s">
        <v>733</v>
      </c>
      <c r="D910" s="73">
        <f t="shared" ref="D910:U910" si="1437">D911+D917</f>
        <v>1604</v>
      </c>
      <c r="E910" s="73">
        <f t="shared" ref="E910:F910" si="1438">E911+E917</f>
        <v>2015</v>
      </c>
      <c r="F910" s="73">
        <f t="shared" si="1438"/>
        <v>2027</v>
      </c>
      <c r="G910" s="73">
        <f t="shared" si="1437"/>
        <v>1880</v>
      </c>
      <c r="H910" s="73">
        <f t="shared" si="1437"/>
        <v>2027</v>
      </c>
      <c r="I910" s="73">
        <f t="shared" si="1437"/>
        <v>2610</v>
      </c>
      <c r="J910" s="73">
        <f t="shared" si="1437"/>
        <v>1900</v>
      </c>
      <c r="K910" s="73">
        <f t="shared" ref="K910:L910" si="1439">K911+K917</f>
        <v>2470</v>
      </c>
      <c r="L910" s="292">
        <f t="shared" si="1439"/>
        <v>1980</v>
      </c>
      <c r="M910" s="292">
        <f t="shared" ref="M910:P910" si="1440">M911+M917</f>
        <v>505</v>
      </c>
      <c r="N910" s="292">
        <f t="shared" si="1440"/>
        <v>505</v>
      </c>
      <c r="O910" s="292">
        <f t="shared" si="1440"/>
        <v>510</v>
      </c>
      <c r="P910" s="292">
        <f t="shared" si="1440"/>
        <v>460</v>
      </c>
      <c r="Q910" s="117">
        <f t="shared" si="1435"/>
        <v>1980</v>
      </c>
      <c r="R910" s="117">
        <f t="shared" si="1436"/>
        <v>0</v>
      </c>
      <c r="S910" s="292">
        <f t="shared" si="1437"/>
        <v>1980</v>
      </c>
      <c r="T910" s="292">
        <f t="shared" si="1437"/>
        <v>1980</v>
      </c>
      <c r="U910" s="292">
        <f t="shared" si="1437"/>
        <v>1980</v>
      </c>
    </row>
    <row r="911" spans="1:21" ht="14.25">
      <c r="A911" s="34"/>
      <c r="B911" s="24" t="s">
        <v>153</v>
      </c>
      <c r="C911" s="12"/>
      <c r="D911" s="73">
        <f t="shared" ref="D911:U912" si="1441">D912</f>
        <v>1531</v>
      </c>
      <c r="E911" s="73">
        <f t="shared" si="1441"/>
        <v>1903</v>
      </c>
      <c r="F911" s="73">
        <f t="shared" si="1441"/>
        <v>1915</v>
      </c>
      <c r="G911" s="73">
        <f t="shared" si="1441"/>
        <v>1880</v>
      </c>
      <c r="H911" s="73">
        <f t="shared" si="1441"/>
        <v>1915</v>
      </c>
      <c r="I911" s="73">
        <f t="shared" si="1441"/>
        <v>2610</v>
      </c>
      <c r="J911" s="73">
        <f t="shared" si="1441"/>
        <v>1900</v>
      </c>
      <c r="K911" s="73">
        <f t="shared" si="1441"/>
        <v>2470</v>
      </c>
      <c r="L911" s="292">
        <f t="shared" si="1441"/>
        <v>1980</v>
      </c>
      <c r="M911" s="292">
        <f t="shared" si="1441"/>
        <v>505</v>
      </c>
      <c r="N911" s="292">
        <f t="shared" si="1441"/>
        <v>505</v>
      </c>
      <c r="O911" s="292">
        <f t="shared" si="1441"/>
        <v>510</v>
      </c>
      <c r="P911" s="292">
        <f t="shared" si="1441"/>
        <v>460</v>
      </c>
      <c r="Q911" s="117">
        <f t="shared" si="1435"/>
        <v>1980</v>
      </c>
      <c r="R911" s="117">
        <f t="shared" si="1436"/>
        <v>0</v>
      </c>
      <c r="S911" s="292">
        <f t="shared" si="1441"/>
        <v>1980</v>
      </c>
      <c r="T911" s="292">
        <f t="shared" si="1441"/>
        <v>1980</v>
      </c>
      <c r="U911" s="292">
        <f t="shared" si="1441"/>
        <v>1980</v>
      </c>
    </row>
    <row r="912" spans="1:21" ht="15">
      <c r="A912" s="34"/>
      <c r="B912" s="33" t="s">
        <v>154</v>
      </c>
      <c r="C912" s="12">
        <v>1</v>
      </c>
      <c r="D912" s="69">
        <f t="shared" si="1441"/>
        <v>1531</v>
      </c>
      <c r="E912" s="69">
        <f t="shared" si="1441"/>
        <v>1903</v>
      </c>
      <c r="F912" s="69">
        <f t="shared" si="1441"/>
        <v>1915</v>
      </c>
      <c r="G912" s="69">
        <f t="shared" si="1441"/>
        <v>1880</v>
      </c>
      <c r="H912" s="69">
        <f t="shared" si="1441"/>
        <v>1915</v>
      </c>
      <c r="I912" s="69">
        <f t="shared" si="1441"/>
        <v>2610</v>
      </c>
      <c r="J912" s="69">
        <f t="shared" si="1441"/>
        <v>1900</v>
      </c>
      <c r="K912" s="69">
        <f t="shared" si="1441"/>
        <v>2470</v>
      </c>
      <c r="L912" s="283">
        <f t="shared" si="1441"/>
        <v>1980</v>
      </c>
      <c r="M912" s="283">
        <f t="shared" si="1441"/>
        <v>505</v>
      </c>
      <c r="N912" s="283">
        <f t="shared" si="1441"/>
        <v>505</v>
      </c>
      <c r="O912" s="283">
        <f t="shared" si="1441"/>
        <v>510</v>
      </c>
      <c r="P912" s="283">
        <f t="shared" si="1441"/>
        <v>460</v>
      </c>
      <c r="Q912" s="117">
        <f t="shared" si="1435"/>
        <v>1980</v>
      </c>
      <c r="R912" s="117">
        <f t="shared" si="1436"/>
        <v>0</v>
      </c>
      <c r="S912" s="283">
        <f t="shared" si="1441"/>
        <v>1980</v>
      </c>
      <c r="T912" s="283">
        <f t="shared" si="1441"/>
        <v>1980</v>
      </c>
      <c r="U912" s="283">
        <f t="shared" si="1441"/>
        <v>1980</v>
      </c>
    </row>
    <row r="913" spans="1:21" ht="15">
      <c r="A913" s="34"/>
      <c r="B913" s="33" t="s">
        <v>251</v>
      </c>
      <c r="C913" s="12" t="s">
        <v>293</v>
      </c>
      <c r="D913" s="69">
        <f t="shared" ref="D913:U913" si="1442">D914+D915</f>
        <v>1531</v>
      </c>
      <c r="E913" s="69">
        <f t="shared" ref="E913:F913" si="1443">E914+E915</f>
        <v>1903</v>
      </c>
      <c r="F913" s="69">
        <f t="shared" si="1443"/>
        <v>1915</v>
      </c>
      <c r="G913" s="69">
        <f t="shared" si="1442"/>
        <v>1880</v>
      </c>
      <c r="H913" s="69">
        <f t="shared" si="1442"/>
        <v>1915</v>
      </c>
      <c r="I913" s="69">
        <f t="shared" si="1442"/>
        <v>2610</v>
      </c>
      <c r="J913" s="69">
        <f t="shared" si="1442"/>
        <v>1900</v>
      </c>
      <c r="K913" s="69">
        <f t="shared" ref="K913:L913" si="1444">K914+K915</f>
        <v>2470</v>
      </c>
      <c r="L913" s="283">
        <f t="shared" si="1444"/>
        <v>1980</v>
      </c>
      <c r="M913" s="283">
        <f t="shared" ref="M913:P913" si="1445">M914+M915</f>
        <v>505</v>
      </c>
      <c r="N913" s="283">
        <f t="shared" si="1445"/>
        <v>505</v>
      </c>
      <c r="O913" s="283">
        <f t="shared" si="1445"/>
        <v>510</v>
      </c>
      <c r="P913" s="283">
        <f t="shared" si="1445"/>
        <v>460</v>
      </c>
      <c r="Q913" s="117">
        <f t="shared" si="1435"/>
        <v>1980</v>
      </c>
      <c r="R913" s="117">
        <f t="shared" si="1436"/>
        <v>0</v>
      </c>
      <c r="S913" s="283">
        <f t="shared" si="1442"/>
        <v>1980</v>
      </c>
      <c r="T913" s="283">
        <f t="shared" si="1442"/>
        <v>1980</v>
      </c>
      <c r="U913" s="283">
        <f t="shared" si="1442"/>
        <v>1980</v>
      </c>
    </row>
    <row r="914" spans="1:21" ht="12.75" customHeight="1">
      <c r="A914" s="34"/>
      <c r="B914" s="33" t="s">
        <v>155</v>
      </c>
      <c r="C914" s="12">
        <v>10</v>
      </c>
      <c r="D914" s="68">
        <v>1344</v>
      </c>
      <c r="E914" s="197">
        <v>1605</v>
      </c>
      <c r="F914" s="68">
        <v>1615</v>
      </c>
      <c r="G914" s="68">
        <v>1580</v>
      </c>
      <c r="H914" s="68">
        <v>1615</v>
      </c>
      <c r="I914" s="197">
        <v>1720</v>
      </c>
      <c r="J914" s="197">
        <v>1650</v>
      </c>
      <c r="K914" s="197">
        <v>1680</v>
      </c>
      <c r="L914" s="282">
        <v>1680</v>
      </c>
      <c r="M914" s="282">
        <v>435</v>
      </c>
      <c r="N914" s="282">
        <v>435</v>
      </c>
      <c r="O914" s="282">
        <v>430</v>
      </c>
      <c r="P914" s="282">
        <v>380</v>
      </c>
      <c r="Q914" s="117">
        <f t="shared" si="1435"/>
        <v>1680</v>
      </c>
      <c r="R914" s="117">
        <f t="shared" si="1436"/>
        <v>0</v>
      </c>
      <c r="S914" s="282">
        <v>1680</v>
      </c>
      <c r="T914" s="282">
        <v>1680</v>
      </c>
      <c r="U914" s="282">
        <v>1680</v>
      </c>
    </row>
    <row r="915" spans="1:21" ht="14.25" customHeight="1">
      <c r="A915" s="34"/>
      <c r="B915" s="33" t="s">
        <v>588</v>
      </c>
      <c r="C915" s="12">
        <v>20</v>
      </c>
      <c r="D915" s="68">
        <v>187</v>
      </c>
      <c r="E915" s="197">
        <v>298</v>
      </c>
      <c r="F915" s="68">
        <v>300</v>
      </c>
      <c r="G915" s="68">
        <v>300</v>
      </c>
      <c r="H915" s="68">
        <v>300</v>
      </c>
      <c r="I915" s="197">
        <v>890</v>
      </c>
      <c r="J915" s="197">
        <v>250</v>
      </c>
      <c r="K915" s="197">
        <v>790</v>
      </c>
      <c r="L915" s="282">
        <v>300</v>
      </c>
      <c r="M915" s="282">
        <v>70</v>
      </c>
      <c r="N915" s="282">
        <v>70</v>
      </c>
      <c r="O915" s="282">
        <v>80</v>
      </c>
      <c r="P915" s="282">
        <v>80</v>
      </c>
      <c r="Q915" s="117">
        <f t="shared" si="1435"/>
        <v>300</v>
      </c>
      <c r="R915" s="117">
        <f t="shared" si="1436"/>
        <v>0</v>
      </c>
      <c r="S915" s="282">
        <v>300</v>
      </c>
      <c r="T915" s="282">
        <v>300</v>
      </c>
      <c r="U915" s="282">
        <v>300</v>
      </c>
    </row>
    <row r="916" spans="1:21" ht="14.25" hidden="1" customHeight="1">
      <c r="A916" s="34"/>
      <c r="B916" s="26" t="s">
        <v>513</v>
      </c>
      <c r="C916" s="84">
        <v>85.01</v>
      </c>
      <c r="D916" s="68"/>
      <c r="E916" s="197"/>
      <c r="F916" s="68"/>
      <c r="G916" s="68"/>
      <c r="H916" s="68"/>
      <c r="I916" s="197"/>
      <c r="J916" s="197"/>
      <c r="K916" s="197"/>
      <c r="L916" s="282"/>
      <c r="M916" s="282"/>
      <c r="N916" s="282"/>
      <c r="O916" s="282"/>
      <c r="P916" s="282"/>
      <c r="Q916" s="117">
        <f t="shared" si="1435"/>
        <v>0</v>
      </c>
      <c r="R916" s="117">
        <f t="shared" si="1436"/>
        <v>0</v>
      </c>
      <c r="S916" s="282"/>
      <c r="T916" s="282"/>
      <c r="U916" s="282"/>
    </row>
    <row r="917" spans="1:21" ht="17.25" hidden="1" customHeight="1">
      <c r="A917" s="34"/>
      <c r="B917" s="26" t="s">
        <v>165</v>
      </c>
      <c r="C917" s="12"/>
      <c r="D917" s="69">
        <f t="shared" ref="D917:U917" si="1446">D918</f>
        <v>73</v>
      </c>
      <c r="E917" s="69">
        <f t="shared" si="1446"/>
        <v>112</v>
      </c>
      <c r="F917" s="69">
        <f t="shared" si="1446"/>
        <v>112</v>
      </c>
      <c r="G917" s="69">
        <f t="shared" si="1446"/>
        <v>0</v>
      </c>
      <c r="H917" s="69">
        <f t="shared" si="1446"/>
        <v>112</v>
      </c>
      <c r="I917" s="69">
        <f t="shared" si="1446"/>
        <v>0</v>
      </c>
      <c r="J917" s="69">
        <f t="shared" si="1446"/>
        <v>0</v>
      </c>
      <c r="K917" s="69">
        <f t="shared" si="1446"/>
        <v>0</v>
      </c>
      <c r="L917" s="283">
        <f t="shared" si="1446"/>
        <v>0</v>
      </c>
      <c r="M917" s="283">
        <f t="shared" si="1446"/>
        <v>0</v>
      </c>
      <c r="N917" s="283">
        <f t="shared" si="1446"/>
        <v>0</v>
      </c>
      <c r="O917" s="283">
        <f t="shared" si="1446"/>
        <v>0</v>
      </c>
      <c r="P917" s="283">
        <f t="shared" si="1446"/>
        <v>0</v>
      </c>
      <c r="Q917" s="117">
        <f t="shared" si="1435"/>
        <v>0</v>
      </c>
      <c r="R917" s="117">
        <f t="shared" si="1436"/>
        <v>0</v>
      </c>
      <c r="S917" s="283">
        <f t="shared" si="1446"/>
        <v>0</v>
      </c>
      <c r="T917" s="283">
        <f t="shared" si="1446"/>
        <v>0</v>
      </c>
      <c r="U917" s="283">
        <f t="shared" si="1446"/>
        <v>0</v>
      </c>
    </row>
    <row r="918" spans="1:21" ht="23.25" customHeight="1">
      <c r="A918" s="34"/>
      <c r="B918" s="33" t="s">
        <v>171</v>
      </c>
      <c r="C918" s="12" t="s">
        <v>172</v>
      </c>
      <c r="D918" s="68">
        <v>73</v>
      </c>
      <c r="E918" s="197">
        <v>112</v>
      </c>
      <c r="F918" s="68">
        <v>112</v>
      </c>
      <c r="G918" s="68"/>
      <c r="H918" s="68">
        <v>112</v>
      </c>
      <c r="I918" s="197"/>
      <c r="J918" s="197"/>
      <c r="K918" s="197"/>
      <c r="L918" s="282"/>
      <c r="M918" s="282"/>
      <c r="N918" s="282"/>
      <c r="O918" s="282"/>
      <c r="P918" s="282"/>
      <c r="Q918" s="117">
        <f t="shared" si="1435"/>
        <v>0</v>
      </c>
      <c r="R918" s="117">
        <f t="shared" si="1436"/>
        <v>0</v>
      </c>
      <c r="S918" s="282"/>
      <c r="T918" s="282"/>
      <c r="U918" s="282"/>
    </row>
    <row r="919" spans="1:21" ht="30.75" customHeight="1">
      <c r="A919" s="34" t="s">
        <v>362</v>
      </c>
      <c r="B919" s="50" t="s">
        <v>297</v>
      </c>
      <c r="C919" s="12" t="s">
        <v>734</v>
      </c>
      <c r="D919" s="73">
        <f t="shared" ref="D919:U919" si="1447">D920+D926</f>
        <v>4020</v>
      </c>
      <c r="E919" s="73">
        <f t="shared" ref="E919:F919" si="1448">E920+E926</f>
        <v>2231</v>
      </c>
      <c r="F919" s="73">
        <f t="shared" si="1448"/>
        <v>2539</v>
      </c>
      <c r="G919" s="73">
        <f t="shared" si="1447"/>
        <v>2739</v>
      </c>
      <c r="H919" s="73">
        <f t="shared" si="1447"/>
        <v>2539</v>
      </c>
      <c r="I919" s="73">
        <f t="shared" si="1447"/>
        <v>2442</v>
      </c>
      <c r="J919" s="73">
        <f t="shared" si="1447"/>
        <v>1850</v>
      </c>
      <c r="K919" s="73">
        <f t="shared" ref="K919:L919" si="1449">K920+K926</f>
        <v>2344</v>
      </c>
      <c r="L919" s="292">
        <f t="shared" si="1449"/>
        <v>2144</v>
      </c>
      <c r="M919" s="292">
        <f t="shared" ref="M919:P919" si="1450">M920+M926</f>
        <v>539</v>
      </c>
      <c r="N919" s="292">
        <f t="shared" si="1450"/>
        <v>545</v>
      </c>
      <c r="O919" s="292">
        <f t="shared" si="1450"/>
        <v>545</v>
      </c>
      <c r="P919" s="292">
        <f t="shared" si="1450"/>
        <v>515</v>
      </c>
      <c r="Q919" s="117">
        <f t="shared" si="1435"/>
        <v>2144</v>
      </c>
      <c r="R919" s="117">
        <f t="shared" si="1436"/>
        <v>0</v>
      </c>
      <c r="S919" s="292">
        <f t="shared" si="1447"/>
        <v>2357</v>
      </c>
      <c r="T919" s="292">
        <f t="shared" si="1447"/>
        <v>2958</v>
      </c>
      <c r="U919" s="292">
        <f t="shared" si="1447"/>
        <v>2958</v>
      </c>
    </row>
    <row r="920" spans="1:21" ht="14.25">
      <c r="A920" s="34"/>
      <c r="B920" s="24" t="s">
        <v>153</v>
      </c>
      <c r="C920" s="12"/>
      <c r="D920" s="73">
        <f t="shared" ref="D920:U920" si="1451">D921</f>
        <v>2376</v>
      </c>
      <c r="E920" s="73">
        <f t="shared" si="1451"/>
        <v>2098</v>
      </c>
      <c r="F920" s="73">
        <f t="shared" si="1451"/>
        <v>2287</v>
      </c>
      <c r="G920" s="73">
        <f t="shared" si="1451"/>
        <v>2541</v>
      </c>
      <c r="H920" s="73">
        <f t="shared" si="1451"/>
        <v>2287</v>
      </c>
      <c r="I920" s="73">
        <f t="shared" si="1451"/>
        <v>2248</v>
      </c>
      <c r="J920" s="73">
        <f t="shared" si="1451"/>
        <v>1850</v>
      </c>
      <c r="K920" s="73">
        <f t="shared" si="1451"/>
        <v>2150</v>
      </c>
      <c r="L920" s="292">
        <f t="shared" si="1451"/>
        <v>2100</v>
      </c>
      <c r="M920" s="292">
        <f t="shared" si="1451"/>
        <v>495</v>
      </c>
      <c r="N920" s="292">
        <f t="shared" si="1451"/>
        <v>545</v>
      </c>
      <c r="O920" s="292">
        <f t="shared" si="1451"/>
        <v>545</v>
      </c>
      <c r="P920" s="292">
        <f t="shared" si="1451"/>
        <v>515</v>
      </c>
      <c r="Q920" s="117">
        <f t="shared" si="1435"/>
        <v>2100</v>
      </c>
      <c r="R920" s="117">
        <f t="shared" si="1436"/>
        <v>0</v>
      </c>
      <c r="S920" s="292">
        <f t="shared" si="1451"/>
        <v>2357</v>
      </c>
      <c r="T920" s="292">
        <f t="shared" si="1451"/>
        <v>2958</v>
      </c>
      <c r="U920" s="292">
        <f t="shared" si="1451"/>
        <v>2958</v>
      </c>
    </row>
    <row r="921" spans="1:21" ht="15">
      <c r="A921" s="34"/>
      <c r="B921" s="33" t="s">
        <v>154</v>
      </c>
      <c r="C921" s="12">
        <v>1</v>
      </c>
      <c r="D921" s="69">
        <f t="shared" ref="D921:U921" si="1452">D922+D925</f>
        <v>2376</v>
      </c>
      <c r="E921" s="69">
        <f t="shared" ref="E921:F921" si="1453">E922+E925</f>
        <v>2098</v>
      </c>
      <c r="F921" s="69">
        <f t="shared" si="1453"/>
        <v>2287</v>
      </c>
      <c r="G921" s="69">
        <f t="shared" si="1452"/>
        <v>2541</v>
      </c>
      <c r="H921" s="69">
        <f t="shared" si="1452"/>
        <v>2287</v>
      </c>
      <c r="I921" s="69">
        <f t="shared" si="1452"/>
        <v>2248</v>
      </c>
      <c r="J921" s="69">
        <f t="shared" si="1452"/>
        <v>1850</v>
      </c>
      <c r="K921" s="69">
        <f t="shared" ref="K921:L921" si="1454">K922+K925</f>
        <v>2150</v>
      </c>
      <c r="L921" s="283">
        <f t="shared" si="1454"/>
        <v>2100</v>
      </c>
      <c r="M921" s="283">
        <f t="shared" ref="M921:P921" si="1455">M922+M925</f>
        <v>495</v>
      </c>
      <c r="N921" s="283">
        <f t="shared" si="1455"/>
        <v>545</v>
      </c>
      <c r="O921" s="283">
        <f t="shared" si="1455"/>
        <v>545</v>
      </c>
      <c r="P921" s="283">
        <f t="shared" si="1455"/>
        <v>515</v>
      </c>
      <c r="Q921" s="117">
        <f t="shared" si="1435"/>
        <v>2100</v>
      </c>
      <c r="R921" s="117">
        <f t="shared" si="1436"/>
        <v>0</v>
      </c>
      <c r="S921" s="283">
        <f t="shared" si="1452"/>
        <v>2357</v>
      </c>
      <c r="T921" s="283">
        <f t="shared" si="1452"/>
        <v>2958</v>
      </c>
      <c r="U921" s="283">
        <f t="shared" si="1452"/>
        <v>2958</v>
      </c>
    </row>
    <row r="922" spans="1:21" ht="15" customHeight="1">
      <c r="A922" s="34"/>
      <c r="B922" s="33" t="s">
        <v>251</v>
      </c>
      <c r="C922" s="12" t="s">
        <v>293</v>
      </c>
      <c r="D922" s="69">
        <f t="shared" ref="D922:U922" si="1456">D923+D924</f>
        <v>2376</v>
      </c>
      <c r="E922" s="69">
        <f t="shared" ref="E922:F922" si="1457">E923+E924</f>
        <v>2098</v>
      </c>
      <c r="F922" s="69">
        <f t="shared" si="1457"/>
        <v>2287</v>
      </c>
      <c r="G922" s="69">
        <f t="shared" si="1456"/>
        <v>2541</v>
      </c>
      <c r="H922" s="69">
        <f t="shared" si="1456"/>
        <v>2287</v>
      </c>
      <c r="I922" s="69">
        <f t="shared" si="1456"/>
        <v>2248</v>
      </c>
      <c r="J922" s="69">
        <f t="shared" si="1456"/>
        <v>1850</v>
      </c>
      <c r="K922" s="69">
        <f t="shared" ref="K922:L922" si="1458">K923+K924</f>
        <v>2150</v>
      </c>
      <c r="L922" s="283">
        <f t="shared" si="1458"/>
        <v>2100</v>
      </c>
      <c r="M922" s="283">
        <f t="shared" ref="M922:P922" si="1459">M923+M924</f>
        <v>495</v>
      </c>
      <c r="N922" s="283">
        <f t="shared" si="1459"/>
        <v>545</v>
      </c>
      <c r="O922" s="283">
        <f t="shared" si="1459"/>
        <v>545</v>
      </c>
      <c r="P922" s="283">
        <f t="shared" si="1459"/>
        <v>515</v>
      </c>
      <c r="Q922" s="117">
        <f t="shared" si="1435"/>
        <v>2100</v>
      </c>
      <c r="R922" s="117">
        <f t="shared" si="1436"/>
        <v>0</v>
      </c>
      <c r="S922" s="283">
        <f t="shared" si="1456"/>
        <v>2357</v>
      </c>
      <c r="T922" s="283">
        <f t="shared" si="1456"/>
        <v>2958</v>
      </c>
      <c r="U922" s="283">
        <f t="shared" si="1456"/>
        <v>2958</v>
      </c>
    </row>
    <row r="923" spans="1:21" ht="15.75" customHeight="1">
      <c r="A923" s="34"/>
      <c r="B923" s="33" t="s">
        <v>155</v>
      </c>
      <c r="C923" s="12">
        <v>10</v>
      </c>
      <c r="D923" s="68">
        <v>1459</v>
      </c>
      <c r="E923" s="197">
        <v>1247</v>
      </c>
      <c r="F923" s="68">
        <v>1371</v>
      </c>
      <c r="G923" s="68">
        <f>1341+480</f>
        <v>1821</v>
      </c>
      <c r="H923" s="68">
        <v>1371</v>
      </c>
      <c r="I923" s="197">
        <v>1398</v>
      </c>
      <c r="J923" s="197">
        <v>1250</v>
      </c>
      <c r="K923" s="197">
        <v>1350</v>
      </c>
      <c r="L923" s="282">
        <v>1350</v>
      </c>
      <c r="M923" s="282">
        <v>345</v>
      </c>
      <c r="N923" s="282">
        <v>345</v>
      </c>
      <c r="O923" s="282">
        <v>345</v>
      </c>
      <c r="P923" s="282">
        <v>315</v>
      </c>
      <c r="Q923" s="117">
        <f t="shared" si="1435"/>
        <v>1350</v>
      </c>
      <c r="R923" s="117">
        <f t="shared" si="1436"/>
        <v>0</v>
      </c>
      <c r="S923" s="282">
        <v>1572</v>
      </c>
      <c r="T923" s="282">
        <v>1998</v>
      </c>
      <c r="U923" s="282">
        <v>1998</v>
      </c>
    </row>
    <row r="924" spans="1:21" ht="16.5" customHeight="1">
      <c r="A924" s="34"/>
      <c r="B924" s="33" t="s">
        <v>588</v>
      </c>
      <c r="C924" s="12">
        <v>20</v>
      </c>
      <c r="D924" s="68">
        <v>917</v>
      </c>
      <c r="E924" s="197">
        <v>851</v>
      </c>
      <c r="F924" s="68">
        <v>916</v>
      </c>
      <c r="G924" s="68">
        <f>600+120</f>
        <v>720</v>
      </c>
      <c r="H924" s="68">
        <v>916</v>
      </c>
      <c r="I924" s="197">
        <v>850</v>
      </c>
      <c r="J924" s="197">
        <v>600</v>
      </c>
      <c r="K924" s="197">
        <v>800</v>
      </c>
      <c r="L924" s="282">
        <v>750</v>
      </c>
      <c r="M924" s="282">
        <v>150</v>
      </c>
      <c r="N924" s="282">
        <v>200</v>
      </c>
      <c r="O924" s="282">
        <v>200</v>
      </c>
      <c r="P924" s="282">
        <v>200</v>
      </c>
      <c r="Q924" s="117">
        <f t="shared" si="1435"/>
        <v>750</v>
      </c>
      <c r="R924" s="117">
        <f t="shared" si="1436"/>
        <v>0</v>
      </c>
      <c r="S924" s="282">
        <v>785</v>
      </c>
      <c r="T924" s="282">
        <v>960</v>
      </c>
      <c r="U924" s="282">
        <v>960</v>
      </c>
    </row>
    <row r="925" spans="1:21" ht="12.75" hidden="1" customHeight="1">
      <c r="A925" s="34"/>
      <c r="B925" s="26" t="s">
        <v>513</v>
      </c>
      <c r="C925" s="84">
        <v>85.01</v>
      </c>
      <c r="D925" s="68"/>
      <c r="E925" s="197"/>
      <c r="F925" s="68"/>
      <c r="G925" s="68"/>
      <c r="H925" s="68"/>
      <c r="I925" s="197"/>
      <c r="J925" s="197"/>
      <c r="K925" s="197"/>
      <c r="L925" s="282"/>
      <c r="M925" s="282"/>
      <c r="N925" s="282"/>
      <c r="O925" s="282"/>
      <c r="P925" s="282"/>
      <c r="Q925" s="117">
        <f t="shared" si="1435"/>
        <v>0</v>
      </c>
      <c r="R925" s="117">
        <f t="shared" si="1436"/>
        <v>0</v>
      </c>
      <c r="S925" s="282"/>
      <c r="T925" s="282"/>
      <c r="U925" s="282"/>
    </row>
    <row r="926" spans="1:21" ht="15.75" customHeight="1">
      <c r="A926" s="34"/>
      <c r="B926" s="26" t="s">
        <v>165</v>
      </c>
      <c r="C926" s="12"/>
      <c r="D926" s="73">
        <f t="shared" ref="D926:U926" si="1460">D927</f>
        <v>1644</v>
      </c>
      <c r="E926" s="73">
        <f t="shared" si="1460"/>
        <v>133</v>
      </c>
      <c r="F926" s="73">
        <f t="shared" si="1460"/>
        <v>252</v>
      </c>
      <c r="G926" s="73">
        <f t="shared" si="1460"/>
        <v>198</v>
      </c>
      <c r="H926" s="73">
        <f t="shared" si="1460"/>
        <v>252</v>
      </c>
      <c r="I926" s="73">
        <f t="shared" si="1460"/>
        <v>194</v>
      </c>
      <c r="J926" s="73">
        <f t="shared" si="1460"/>
        <v>0</v>
      </c>
      <c r="K926" s="73">
        <f t="shared" si="1460"/>
        <v>194</v>
      </c>
      <c r="L926" s="292">
        <f t="shared" si="1460"/>
        <v>44</v>
      </c>
      <c r="M926" s="292">
        <f t="shared" si="1460"/>
        <v>44</v>
      </c>
      <c r="N926" s="292">
        <f t="shared" si="1460"/>
        <v>0</v>
      </c>
      <c r="O926" s="292">
        <f t="shared" si="1460"/>
        <v>0</v>
      </c>
      <c r="P926" s="292">
        <f t="shared" si="1460"/>
        <v>0</v>
      </c>
      <c r="Q926" s="117">
        <f t="shared" si="1435"/>
        <v>44</v>
      </c>
      <c r="R926" s="117">
        <f t="shared" si="1436"/>
        <v>0</v>
      </c>
      <c r="S926" s="292">
        <f t="shared" si="1460"/>
        <v>0</v>
      </c>
      <c r="T926" s="292">
        <f t="shared" si="1460"/>
        <v>0</v>
      </c>
      <c r="U926" s="292">
        <f t="shared" si="1460"/>
        <v>0</v>
      </c>
    </row>
    <row r="927" spans="1:21" ht="15">
      <c r="A927" s="34"/>
      <c r="B927" s="33" t="s">
        <v>171</v>
      </c>
      <c r="C927" s="12" t="s">
        <v>172</v>
      </c>
      <c r="D927" s="68">
        <v>1644</v>
      </c>
      <c r="E927" s="197">
        <v>133</v>
      </c>
      <c r="F927" s="68">
        <v>252</v>
      </c>
      <c r="G927" s="68">
        <v>198</v>
      </c>
      <c r="H927" s="68">
        <v>252</v>
      </c>
      <c r="I927" s="197">
        <v>194</v>
      </c>
      <c r="J927" s="197"/>
      <c r="K927" s="197">
        <v>194</v>
      </c>
      <c r="L927" s="282">
        <f>10+15+9+10</f>
        <v>44</v>
      </c>
      <c r="M927" s="282">
        <v>44</v>
      </c>
      <c r="N927" s="282"/>
      <c r="O927" s="282"/>
      <c r="P927" s="282"/>
      <c r="Q927" s="117">
        <f t="shared" si="1435"/>
        <v>44</v>
      </c>
      <c r="R927" s="117">
        <f t="shared" si="1436"/>
        <v>0</v>
      </c>
      <c r="S927" s="282">
        <v>0</v>
      </c>
      <c r="T927" s="282">
        <v>0</v>
      </c>
      <c r="U927" s="282">
        <v>0</v>
      </c>
    </row>
    <row r="928" spans="1:21" ht="28.5">
      <c r="A928" s="34" t="s">
        <v>363</v>
      </c>
      <c r="B928" s="50" t="s">
        <v>364</v>
      </c>
      <c r="C928" s="12" t="s">
        <v>735</v>
      </c>
      <c r="D928" s="73">
        <f t="shared" ref="D928:U928" si="1461">D929+D936</f>
        <v>3836</v>
      </c>
      <c r="E928" s="73">
        <f t="shared" ref="E928:F928" si="1462">E929+E936</f>
        <v>4536</v>
      </c>
      <c r="F928" s="73">
        <f t="shared" si="1462"/>
        <v>4620</v>
      </c>
      <c r="G928" s="73">
        <f t="shared" si="1461"/>
        <v>4700</v>
      </c>
      <c r="H928" s="73">
        <f t="shared" si="1461"/>
        <v>4620</v>
      </c>
      <c r="I928" s="73">
        <f t="shared" si="1461"/>
        <v>5015</v>
      </c>
      <c r="J928" s="73">
        <f t="shared" si="1461"/>
        <v>4565</v>
      </c>
      <c r="K928" s="73">
        <f t="shared" ref="K928:L928" si="1463">K929+K936</f>
        <v>4965</v>
      </c>
      <c r="L928" s="292">
        <f t="shared" si="1463"/>
        <v>4715</v>
      </c>
      <c r="M928" s="292">
        <f t="shared" ref="M928:P928" si="1464">M929+M936</f>
        <v>1200</v>
      </c>
      <c r="N928" s="292">
        <f t="shared" si="1464"/>
        <v>1170</v>
      </c>
      <c r="O928" s="292">
        <f t="shared" si="1464"/>
        <v>1195</v>
      </c>
      <c r="P928" s="292">
        <f t="shared" si="1464"/>
        <v>1150</v>
      </c>
      <c r="Q928" s="117">
        <f t="shared" si="1435"/>
        <v>4715</v>
      </c>
      <c r="R928" s="117">
        <f t="shared" si="1436"/>
        <v>0</v>
      </c>
      <c r="S928" s="292">
        <f t="shared" si="1461"/>
        <v>4715</v>
      </c>
      <c r="T928" s="292">
        <f t="shared" si="1461"/>
        <v>4715</v>
      </c>
      <c r="U928" s="292">
        <f t="shared" si="1461"/>
        <v>4715</v>
      </c>
    </row>
    <row r="929" spans="1:21" ht="14.25">
      <c r="A929" s="34"/>
      <c r="B929" s="24" t="s">
        <v>153</v>
      </c>
      <c r="C929" s="12"/>
      <c r="D929" s="73">
        <f t="shared" ref="D929:U930" si="1465">D930</f>
        <v>3836</v>
      </c>
      <c r="E929" s="73">
        <f t="shared" si="1465"/>
        <v>4536</v>
      </c>
      <c r="F929" s="73">
        <f t="shared" si="1465"/>
        <v>4620</v>
      </c>
      <c r="G929" s="73">
        <f t="shared" si="1465"/>
        <v>4700</v>
      </c>
      <c r="H929" s="73">
        <f t="shared" si="1465"/>
        <v>4620</v>
      </c>
      <c r="I929" s="73">
        <f t="shared" si="1465"/>
        <v>4715</v>
      </c>
      <c r="J929" s="73">
        <f t="shared" si="1465"/>
        <v>4565</v>
      </c>
      <c r="K929" s="73">
        <f t="shared" si="1465"/>
        <v>4665</v>
      </c>
      <c r="L929" s="292">
        <f t="shared" si="1465"/>
        <v>4715</v>
      </c>
      <c r="M929" s="292">
        <f t="shared" si="1465"/>
        <v>1200</v>
      </c>
      <c r="N929" s="292">
        <f t="shared" si="1465"/>
        <v>1170</v>
      </c>
      <c r="O929" s="292">
        <f t="shared" si="1465"/>
        <v>1195</v>
      </c>
      <c r="P929" s="292">
        <f t="shared" si="1465"/>
        <v>1150</v>
      </c>
      <c r="Q929" s="117">
        <f t="shared" si="1435"/>
        <v>4715</v>
      </c>
      <c r="R929" s="117">
        <f t="shared" si="1436"/>
        <v>0</v>
      </c>
      <c r="S929" s="292">
        <f t="shared" si="1465"/>
        <v>4715</v>
      </c>
      <c r="T929" s="292">
        <f t="shared" si="1465"/>
        <v>4715</v>
      </c>
      <c r="U929" s="292">
        <f t="shared" si="1465"/>
        <v>4715</v>
      </c>
    </row>
    <row r="930" spans="1:21" ht="15">
      <c r="A930" s="34"/>
      <c r="B930" s="33" t="s">
        <v>154</v>
      </c>
      <c r="C930" s="12">
        <v>1</v>
      </c>
      <c r="D930" s="69">
        <f t="shared" si="1465"/>
        <v>3836</v>
      </c>
      <c r="E930" s="69">
        <f t="shared" si="1465"/>
        <v>4536</v>
      </c>
      <c r="F930" s="69">
        <f t="shared" si="1465"/>
        <v>4620</v>
      </c>
      <c r="G930" s="69">
        <f t="shared" si="1465"/>
        <v>4700</v>
      </c>
      <c r="H930" s="69">
        <f t="shared" si="1465"/>
        <v>4620</v>
      </c>
      <c r="I930" s="69">
        <f t="shared" si="1465"/>
        <v>4715</v>
      </c>
      <c r="J930" s="69">
        <f t="shared" si="1465"/>
        <v>4565</v>
      </c>
      <c r="K930" s="69">
        <f t="shared" si="1465"/>
        <v>4665</v>
      </c>
      <c r="L930" s="283">
        <f t="shared" si="1465"/>
        <v>4715</v>
      </c>
      <c r="M930" s="283">
        <f t="shared" si="1465"/>
        <v>1200</v>
      </c>
      <c r="N930" s="283">
        <f t="shared" si="1465"/>
        <v>1170</v>
      </c>
      <c r="O930" s="283">
        <f t="shared" si="1465"/>
        <v>1195</v>
      </c>
      <c r="P930" s="283">
        <f t="shared" si="1465"/>
        <v>1150</v>
      </c>
      <c r="Q930" s="117">
        <f t="shared" si="1435"/>
        <v>4715</v>
      </c>
      <c r="R930" s="117">
        <f t="shared" si="1436"/>
        <v>0</v>
      </c>
      <c r="S930" s="283">
        <f t="shared" si="1465"/>
        <v>4715</v>
      </c>
      <c r="T930" s="283">
        <f t="shared" si="1465"/>
        <v>4715</v>
      </c>
      <c r="U930" s="283">
        <f t="shared" si="1465"/>
        <v>4715</v>
      </c>
    </row>
    <row r="931" spans="1:21" ht="15">
      <c r="A931" s="34"/>
      <c r="B931" s="33" t="s">
        <v>251</v>
      </c>
      <c r="C931" s="12" t="s">
        <v>293</v>
      </c>
      <c r="D931" s="69">
        <f>D932+D933+D934+D935</f>
        <v>3836</v>
      </c>
      <c r="E931" s="69">
        <f t="shared" ref="E931:F931" si="1466">E932+E933+E934</f>
        <v>4536</v>
      </c>
      <c r="F931" s="69">
        <f t="shared" si="1466"/>
        <v>4620</v>
      </c>
      <c r="G931" s="69">
        <f t="shared" ref="G931:U931" si="1467">G932+G933+G934</f>
        <v>4700</v>
      </c>
      <c r="H931" s="69">
        <f t="shared" si="1467"/>
        <v>4620</v>
      </c>
      <c r="I931" s="69">
        <f t="shared" si="1467"/>
        <v>4715</v>
      </c>
      <c r="J931" s="69">
        <f t="shared" si="1467"/>
        <v>4565</v>
      </c>
      <c r="K931" s="69">
        <f t="shared" ref="K931:L931" si="1468">K932+K933+K934</f>
        <v>4665</v>
      </c>
      <c r="L931" s="283">
        <f t="shared" si="1468"/>
        <v>4715</v>
      </c>
      <c r="M931" s="283">
        <f t="shared" ref="M931:P931" si="1469">M932+M933+M934</f>
        <v>1200</v>
      </c>
      <c r="N931" s="283">
        <f t="shared" si="1469"/>
        <v>1170</v>
      </c>
      <c r="O931" s="283">
        <f t="shared" si="1469"/>
        <v>1195</v>
      </c>
      <c r="P931" s="283">
        <f t="shared" si="1469"/>
        <v>1150</v>
      </c>
      <c r="Q931" s="117">
        <f t="shared" si="1435"/>
        <v>4715</v>
      </c>
      <c r="R931" s="117">
        <f t="shared" si="1436"/>
        <v>0</v>
      </c>
      <c r="S931" s="283">
        <f t="shared" si="1467"/>
        <v>4715</v>
      </c>
      <c r="T931" s="283">
        <f t="shared" si="1467"/>
        <v>4715</v>
      </c>
      <c r="U931" s="283">
        <f t="shared" si="1467"/>
        <v>4715</v>
      </c>
    </row>
    <row r="932" spans="1:21" ht="15.75" customHeight="1">
      <c r="A932" s="34"/>
      <c r="B932" s="33" t="s">
        <v>155</v>
      </c>
      <c r="C932" s="12">
        <v>10</v>
      </c>
      <c r="D932" s="123">
        <v>3212</v>
      </c>
      <c r="E932" s="197">
        <v>3814</v>
      </c>
      <c r="F932" s="68">
        <v>3885</v>
      </c>
      <c r="G932" s="68">
        <v>4000</v>
      </c>
      <c r="H932" s="68">
        <v>3885</v>
      </c>
      <c r="I932" s="197">
        <v>3950</v>
      </c>
      <c r="J932" s="197">
        <v>3900</v>
      </c>
      <c r="K932" s="197">
        <v>3950</v>
      </c>
      <c r="L932" s="282">
        <v>4000</v>
      </c>
      <c r="M932" s="282">
        <v>1050</v>
      </c>
      <c r="N932" s="282">
        <v>1000</v>
      </c>
      <c r="O932" s="282">
        <v>1000</v>
      </c>
      <c r="P932" s="282">
        <v>950</v>
      </c>
      <c r="Q932" s="117">
        <f t="shared" si="1435"/>
        <v>4000</v>
      </c>
      <c r="R932" s="117">
        <f t="shared" si="1436"/>
        <v>0</v>
      </c>
      <c r="S932" s="282">
        <v>4000</v>
      </c>
      <c r="T932" s="282">
        <v>4000</v>
      </c>
      <c r="U932" s="282">
        <v>4000</v>
      </c>
    </row>
    <row r="933" spans="1:21" ht="15" customHeight="1">
      <c r="A933" s="34"/>
      <c r="B933" s="33" t="s">
        <v>588</v>
      </c>
      <c r="C933" s="12">
        <v>20</v>
      </c>
      <c r="D933" s="123">
        <v>594</v>
      </c>
      <c r="E933" s="197">
        <v>661</v>
      </c>
      <c r="F933" s="68">
        <v>670</v>
      </c>
      <c r="G933" s="68">
        <v>650</v>
      </c>
      <c r="H933" s="68">
        <v>670</v>
      </c>
      <c r="I933" s="197">
        <v>700</v>
      </c>
      <c r="J933" s="197">
        <v>600</v>
      </c>
      <c r="K933" s="197">
        <v>635</v>
      </c>
      <c r="L933" s="282">
        <v>635</v>
      </c>
      <c r="M933" s="282">
        <v>130</v>
      </c>
      <c r="N933" s="282">
        <v>150</v>
      </c>
      <c r="O933" s="282">
        <v>175</v>
      </c>
      <c r="P933" s="282">
        <v>180</v>
      </c>
      <c r="Q933" s="117">
        <f t="shared" si="1435"/>
        <v>635</v>
      </c>
      <c r="R933" s="117">
        <f t="shared" si="1436"/>
        <v>0</v>
      </c>
      <c r="S933" s="282">
        <v>635</v>
      </c>
      <c r="T933" s="282">
        <v>635</v>
      </c>
      <c r="U933" s="282">
        <v>635</v>
      </c>
    </row>
    <row r="934" spans="1:21" ht="13.5" customHeight="1">
      <c r="A934" s="34"/>
      <c r="B934" s="33" t="s">
        <v>452</v>
      </c>
      <c r="C934" s="12">
        <v>59</v>
      </c>
      <c r="D934" s="123">
        <v>46</v>
      </c>
      <c r="E934" s="197">
        <v>61</v>
      </c>
      <c r="F934" s="68">
        <v>65</v>
      </c>
      <c r="G934" s="68">
        <v>50</v>
      </c>
      <c r="H934" s="68">
        <v>65</v>
      </c>
      <c r="I934" s="197">
        <v>65</v>
      </c>
      <c r="J934" s="197">
        <v>65</v>
      </c>
      <c r="K934" s="197">
        <v>80</v>
      </c>
      <c r="L934" s="282">
        <v>80</v>
      </c>
      <c r="M934" s="282">
        <v>20</v>
      </c>
      <c r="N934" s="282">
        <v>20</v>
      </c>
      <c r="O934" s="282">
        <v>20</v>
      </c>
      <c r="P934" s="282">
        <v>20</v>
      </c>
      <c r="Q934" s="117">
        <f t="shared" si="1435"/>
        <v>80</v>
      </c>
      <c r="R934" s="117">
        <f t="shared" si="1436"/>
        <v>0</v>
      </c>
      <c r="S934" s="282">
        <v>80</v>
      </c>
      <c r="T934" s="282">
        <v>80</v>
      </c>
      <c r="U934" s="282">
        <v>80</v>
      </c>
    </row>
    <row r="935" spans="1:21" ht="13.5" customHeight="1">
      <c r="A935" s="34"/>
      <c r="B935" s="26" t="s">
        <v>513</v>
      </c>
      <c r="C935" s="84">
        <v>85.01</v>
      </c>
      <c r="D935" s="68">
        <v>-16</v>
      </c>
      <c r="E935" s="197"/>
      <c r="F935" s="68"/>
      <c r="G935" s="68"/>
      <c r="H935" s="68"/>
      <c r="I935" s="197"/>
      <c r="J935" s="197"/>
      <c r="K935" s="197"/>
      <c r="L935" s="282"/>
      <c r="M935" s="282"/>
      <c r="N935" s="282"/>
      <c r="O935" s="282"/>
      <c r="P935" s="282"/>
      <c r="Q935" s="117">
        <f t="shared" si="1435"/>
        <v>0</v>
      </c>
      <c r="R935" s="117">
        <f t="shared" si="1436"/>
        <v>0</v>
      </c>
      <c r="S935" s="282"/>
      <c r="T935" s="282"/>
      <c r="U935" s="282"/>
    </row>
    <row r="936" spans="1:21" ht="13.5" customHeight="1">
      <c r="A936" s="34"/>
      <c r="B936" s="26" t="s">
        <v>165</v>
      </c>
      <c r="C936" s="12"/>
      <c r="D936" s="73">
        <f t="shared" ref="D936:U936" si="1470">D937</f>
        <v>0</v>
      </c>
      <c r="E936" s="73">
        <f t="shared" si="1470"/>
        <v>0</v>
      </c>
      <c r="F936" s="73">
        <f t="shared" si="1470"/>
        <v>0</v>
      </c>
      <c r="G936" s="73">
        <f t="shared" si="1470"/>
        <v>0</v>
      </c>
      <c r="H936" s="73">
        <f t="shared" si="1470"/>
        <v>0</v>
      </c>
      <c r="I936" s="73">
        <f t="shared" si="1470"/>
        <v>300</v>
      </c>
      <c r="J936" s="73">
        <f t="shared" si="1470"/>
        <v>0</v>
      </c>
      <c r="K936" s="73">
        <f t="shared" si="1470"/>
        <v>300</v>
      </c>
      <c r="L936" s="292">
        <f t="shared" si="1470"/>
        <v>0</v>
      </c>
      <c r="M936" s="292">
        <f t="shared" si="1470"/>
        <v>0</v>
      </c>
      <c r="N936" s="292">
        <f t="shared" si="1470"/>
        <v>0</v>
      </c>
      <c r="O936" s="292">
        <f t="shared" si="1470"/>
        <v>0</v>
      </c>
      <c r="P936" s="292">
        <f t="shared" si="1470"/>
        <v>0</v>
      </c>
      <c r="Q936" s="117">
        <f t="shared" si="1435"/>
        <v>0</v>
      </c>
      <c r="R936" s="117">
        <f t="shared" si="1436"/>
        <v>0</v>
      </c>
      <c r="S936" s="292">
        <f t="shared" si="1470"/>
        <v>0</v>
      </c>
      <c r="T936" s="292">
        <f t="shared" si="1470"/>
        <v>0</v>
      </c>
      <c r="U936" s="292">
        <f t="shared" si="1470"/>
        <v>0</v>
      </c>
    </row>
    <row r="937" spans="1:21" ht="18.75" customHeight="1">
      <c r="A937" s="34"/>
      <c r="B937" s="33" t="s">
        <v>171</v>
      </c>
      <c r="C937" s="12" t="s">
        <v>172</v>
      </c>
      <c r="D937" s="68">
        <v>0</v>
      </c>
      <c r="E937" s="197">
        <v>0</v>
      </c>
      <c r="F937" s="68"/>
      <c r="G937" s="68"/>
      <c r="H937" s="68"/>
      <c r="I937" s="197">
        <v>300</v>
      </c>
      <c r="J937" s="197"/>
      <c r="K937" s="197">
        <v>300</v>
      </c>
      <c r="L937" s="282">
        <v>0</v>
      </c>
      <c r="M937" s="282">
        <v>0</v>
      </c>
      <c r="N937" s="282">
        <v>0</v>
      </c>
      <c r="O937" s="282">
        <v>0</v>
      </c>
      <c r="P937" s="282">
        <v>0</v>
      </c>
      <c r="Q937" s="117">
        <f t="shared" si="1435"/>
        <v>0</v>
      </c>
      <c r="R937" s="117">
        <f t="shared" si="1436"/>
        <v>0</v>
      </c>
      <c r="S937" s="282"/>
      <c r="T937" s="282"/>
      <c r="U937" s="282"/>
    </row>
    <row r="938" spans="1:21" ht="36.75" customHeight="1">
      <c r="A938" s="34" t="s">
        <v>366</v>
      </c>
      <c r="B938" s="50" t="s">
        <v>367</v>
      </c>
      <c r="C938" s="12" t="s">
        <v>735</v>
      </c>
      <c r="D938" s="73">
        <f t="shared" ref="D938:U938" si="1471">D939+D945</f>
        <v>1661</v>
      </c>
      <c r="E938" s="73">
        <f t="shared" ref="E938:F938" si="1472">E939+E945</f>
        <v>1738</v>
      </c>
      <c r="F938" s="73">
        <f t="shared" si="1472"/>
        <v>1840</v>
      </c>
      <c r="G938" s="73">
        <f t="shared" si="1471"/>
        <v>2240</v>
      </c>
      <c r="H938" s="73">
        <f t="shared" si="1471"/>
        <v>1840</v>
      </c>
      <c r="I938" s="73">
        <f t="shared" si="1471"/>
        <v>2192</v>
      </c>
      <c r="J938" s="73">
        <f t="shared" si="1471"/>
        <v>1750</v>
      </c>
      <c r="K938" s="73">
        <f t="shared" ref="K938:L938" si="1473">K939+K945</f>
        <v>1822</v>
      </c>
      <c r="L938" s="292">
        <f t="shared" si="1473"/>
        <v>1700</v>
      </c>
      <c r="M938" s="292">
        <f t="shared" ref="M938:P938" si="1474">M939+M945</f>
        <v>490</v>
      </c>
      <c r="N938" s="292">
        <f t="shared" si="1474"/>
        <v>410</v>
      </c>
      <c r="O938" s="292">
        <f t="shared" si="1474"/>
        <v>400</v>
      </c>
      <c r="P938" s="292">
        <f t="shared" si="1474"/>
        <v>400</v>
      </c>
      <c r="Q938" s="117">
        <f t="shared" si="1435"/>
        <v>1700</v>
      </c>
      <c r="R938" s="117">
        <f t="shared" si="1436"/>
        <v>0</v>
      </c>
      <c r="S938" s="292">
        <f t="shared" si="1471"/>
        <v>1700</v>
      </c>
      <c r="T938" s="292">
        <f t="shared" si="1471"/>
        <v>1700</v>
      </c>
      <c r="U938" s="292">
        <f t="shared" si="1471"/>
        <v>1700</v>
      </c>
    </row>
    <row r="939" spans="1:21" ht="15" customHeight="1">
      <c r="A939" s="34"/>
      <c r="B939" s="24" t="s">
        <v>153</v>
      </c>
      <c r="C939" s="12"/>
      <c r="D939" s="69">
        <f t="shared" ref="D939:U940" si="1475">D940</f>
        <v>1613</v>
      </c>
      <c r="E939" s="69">
        <f t="shared" si="1475"/>
        <v>1738</v>
      </c>
      <c r="F939" s="69">
        <f t="shared" si="1475"/>
        <v>1840</v>
      </c>
      <c r="G939" s="69">
        <f t="shared" si="1475"/>
        <v>2240</v>
      </c>
      <c r="H939" s="69">
        <f t="shared" si="1475"/>
        <v>1840</v>
      </c>
      <c r="I939" s="69">
        <f t="shared" si="1475"/>
        <v>2160</v>
      </c>
      <c r="J939" s="69">
        <f t="shared" si="1475"/>
        <v>1750</v>
      </c>
      <c r="K939" s="69">
        <f t="shared" si="1475"/>
        <v>1790</v>
      </c>
      <c r="L939" s="283">
        <f t="shared" si="1475"/>
        <v>1700</v>
      </c>
      <c r="M939" s="283">
        <f t="shared" si="1475"/>
        <v>490</v>
      </c>
      <c r="N939" s="283">
        <f t="shared" si="1475"/>
        <v>410</v>
      </c>
      <c r="O939" s="283">
        <f t="shared" si="1475"/>
        <v>400</v>
      </c>
      <c r="P939" s="283">
        <f t="shared" si="1475"/>
        <v>400</v>
      </c>
      <c r="Q939" s="117">
        <f t="shared" si="1435"/>
        <v>1700</v>
      </c>
      <c r="R939" s="117">
        <f t="shared" si="1436"/>
        <v>0</v>
      </c>
      <c r="S939" s="283">
        <f t="shared" si="1475"/>
        <v>1700</v>
      </c>
      <c r="T939" s="283">
        <f t="shared" si="1475"/>
        <v>1700</v>
      </c>
      <c r="U939" s="283">
        <f t="shared" si="1475"/>
        <v>1700</v>
      </c>
    </row>
    <row r="940" spans="1:21" ht="15" customHeight="1">
      <c r="A940" s="34"/>
      <c r="B940" s="33" t="s">
        <v>154</v>
      </c>
      <c r="C940" s="12">
        <v>1</v>
      </c>
      <c r="D940" s="69">
        <f t="shared" si="1475"/>
        <v>1613</v>
      </c>
      <c r="E940" s="69">
        <f t="shared" si="1475"/>
        <v>1738</v>
      </c>
      <c r="F940" s="69">
        <f t="shared" si="1475"/>
        <v>1840</v>
      </c>
      <c r="G940" s="69">
        <f t="shared" si="1475"/>
        <v>2240</v>
      </c>
      <c r="H940" s="69">
        <f t="shared" si="1475"/>
        <v>1840</v>
      </c>
      <c r="I940" s="69">
        <f t="shared" si="1475"/>
        <v>2160</v>
      </c>
      <c r="J940" s="69">
        <f t="shared" si="1475"/>
        <v>1750</v>
      </c>
      <c r="K940" s="69">
        <f t="shared" si="1475"/>
        <v>1790</v>
      </c>
      <c r="L940" s="283">
        <f t="shared" si="1475"/>
        <v>1700</v>
      </c>
      <c r="M940" s="283">
        <f t="shared" si="1475"/>
        <v>490</v>
      </c>
      <c r="N940" s="283">
        <f t="shared" si="1475"/>
        <v>410</v>
      </c>
      <c r="O940" s="283">
        <f t="shared" si="1475"/>
        <v>400</v>
      </c>
      <c r="P940" s="283">
        <f t="shared" si="1475"/>
        <v>400</v>
      </c>
      <c r="Q940" s="117">
        <f t="shared" si="1435"/>
        <v>1700</v>
      </c>
      <c r="R940" s="117">
        <f t="shared" si="1436"/>
        <v>0</v>
      </c>
      <c r="S940" s="283">
        <f t="shared" si="1475"/>
        <v>1700</v>
      </c>
      <c r="T940" s="283">
        <f t="shared" si="1475"/>
        <v>1700</v>
      </c>
      <c r="U940" s="283">
        <f t="shared" si="1475"/>
        <v>1700</v>
      </c>
    </row>
    <row r="941" spans="1:21" ht="15" customHeight="1">
      <c r="A941" s="34"/>
      <c r="B941" s="33" t="s">
        <v>251</v>
      </c>
      <c r="C941" s="12" t="s">
        <v>293</v>
      </c>
      <c r="D941" s="69">
        <f t="shared" ref="D941:U941" si="1476">D942+D943</f>
        <v>1613</v>
      </c>
      <c r="E941" s="69">
        <f t="shared" ref="E941:F941" si="1477">E942+E943</f>
        <v>1738</v>
      </c>
      <c r="F941" s="69">
        <f t="shared" si="1477"/>
        <v>1840</v>
      </c>
      <c r="G941" s="69">
        <f t="shared" si="1476"/>
        <v>2240</v>
      </c>
      <c r="H941" s="69">
        <f t="shared" si="1476"/>
        <v>1840</v>
      </c>
      <c r="I941" s="69">
        <f t="shared" si="1476"/>
        <v>2160</v>
      </c>
      <c r="J941" s="69">
        <f t="shared" si="1476"/>
        <v>1750</v>
      </c>
      <c r="K941" s="69">
        <f t="shared" ref="K941:L941" si="1478">K942+K943</f>
        <v>1790</v>
      </c>
      <c r="L941" s="283">
        <f t="shared" si="1478"/>
        <v>1700</v>
      </c>
      <c r="M941" s="283">
        <f t="shared" ref="M941:P941" si="1479">M942+M943</f>
        <v>490</v>
      </c>
      <c r="N941" s="283">
        <f t="shared" si="1479"/>
        <v>410</v>
      </c>
      <c r="O941" s="283">
        <f t="shared" si="1479"/>
        <v>400</v>
      </c>
      <c r="P941" s="283">
        <f t="shared" si="1479"/>
        <v>400</v>
      </c>
      <c r="Q941" s="117">
        <f t="shared" si="1435"/>
        <v>1700</v>
      </c>
      <c r="R941" s="117">
        <f t="shared" si="1436"/>
        <v>0</v>
      </c>
      <c r="S941" s="283">
        <f t="shared" si="1476"/>
        <v>1700</v>
      </c>
      <c r="T941" s="283">
        <f t="shared" si="1476"/>
        <v>1700</v>
      </c>
      <c r="U941" s="283">
        <f t="shared" si="1476"/>
        <v>1700</v>
      </c>
    </row>
    <row r="942" spans="1:21" ht="15" customHeight="1">
      <c r="A942" s="34"/>
      <c r="B942" s="33" t="s">
        <v>155</v>
      </c>
      <c r="C942" s="12">
        <v>10</v>
      </c>
      <c r="D942" s="68">
        <v>1155</v>
      </c>
      <c r="E942" s="197">
        <v>1248</v>
      </c>
      <c r="F942" s="68">
        <v>1350</v>
      </c>
      <c r="G942" s="68">
        <v>1750</v>
      </c>
      <c r="H942" s="68">
        <v>1350</v>
      </c>
      <c r="I942" s="197">
        <v>1600</v>
      </c>
      <c r="J942" s="197">
        <v>1300</v>
      </c>
      <c r="K942" s="197">
        <v>1350</v>
      </c>
      <c r="L942" s="282">
        <v>1300</v>
      </c>
      <c r="M942" s="282">
        <v>330</v>
      </c>
      <c r="N942" s="282">
        <v>330</v>
      </c>
      <c r="O942" s="282">
        <v>320</v>
      </c>
      <c r="P942" s="282">
        <v>320</v>
      </c>
      <c r="Q942" s="117">
        <f t="shared" si="1435"/>
        <v>1300</v>
      </c>
      <c r="R942" s="117">
        <f t="shared" si="1436"/>
        <v>0</v>
      </c>
      <c r="S942" s="282">
        <v>1300</v>
      </c>
      <c r="T942" s="282">
        <v>1300</v>
      </c>
      <c r="U942" s="282">
        <v>1300</v>
      </c>
    </row>
    <row r="943" spans="1:21" ht="15" customHeight="1">
      <c r="A943" s="34"/>
      <c r="B943" s="33" t="s">
        <v>588</v>
      </c>
      <c r="C943" s="12">
        <v>20</v>
      </c>
      <c r="D943" s="68">
        <v>458</v>
      </c>
      <c r="E943" s="197">
        <v>490</v>
      </c>
      <c r="F943" s="68">
        <v>490</v>
      </c>
      <c r="G943" s="68">
        <v>490</v>
      </c>
      <c r="H943" s="68">
        <v>490</v>
      </c>
      <c r="I943" s="197">
        <v>560</v>
      </c>
      <c r="J943" s="197">
        <v>450</v>
      </c>
      <c r="K943" s="197">
        <v>440</v>
      </c>
      <c r="L943" s="282">
        <v>400</v>
      </c>
      <c r="M943" s="282">
        <v>160</v>
      </c>
      <c r="N943" s="282">
        <v>80</v>
      </c>
      <c r="O943" s="282">
        <v>80</v>
      </c>
      <c r="P943" s="282">
        <v>80</v>
      </c>
      <c r="Q943" s="117">
        <f t="shared" si="1435"/>
        <v>400</v>
      </c>
      <c r="R943" s="117">
        <f t="shared" si="1436"/>
        <v>0</v>
      </c>
      <c r="S943" s="282">
        <v>400</v>
      </c>
      <c r="T943" s="282">
        <v>400</v>
      </c>
      <c r="U943" s="282">
        <v>400</v>
      </c>
    </row>
    <row r="944" spans="1:21" ht="0.75" customHeight="1">
      <c r="A944" s="34"/>
      <c r="B944" s="26" t="s">
        <v>513</v>
      </c>
      <c r="C944" s="84">
        <v>85.01</v>
      </c>
      <c r="D944" s="68"/>
      <c r="E944" s="197"/>
      <c r="F944" s="68"/>
      <c r="G944" s="68"/>
      <c r="H944" s="68"/>
      <c r="I944" s="197"/>
      <c r="J944" s="197"/>
      <c r="K944" s="197"/>
      <c r="L944" s="282"/>
      <c r="M944" s="282"/>
      <c r="N944" s="282"/>
      <c r="O944" s="282"/>
      <c r="P944" s="282"/>
      <c r="Q944" s="117">
        <f t="shared" si="1435"/>
        <v>0</v>
      </c>
      <c r="R944" s="117">
        <f t="shared" si="1436"/>
        <v>0</v>
      </c>
      <c r="S944" s="282"/>
      <c r="T944" s="282"/>
      <c r="U944" s="282"/>
    </row>
    <row r="945" spans="1:21" ht="15" hidden="1" customHeight="1">
      <c r="A945" s="34"/>
      <c r="B945" s="26" t="s">
        <v>165</v>
      </c>
      <c r="C945" s="12"/>
      <c r="D945" s="73">
        <f t="shared" ref="D945:U945" si="1480">D946</f>
        <v>48</v>
      </c>
      <c r="E945" s="73">
        <f t="shared" si="1480"/>
        <v>0</v>
      </c>
      <c r="F945" s="73">
        <f t="shared" si="1480"/>
        <v>0</v>
      </c>
      <c r="G945" s="73">
        <f t="shared" si="1480"/>
        <v>0</v>
      </c>
      <c r="H945" s="73">
        <f t="shared" si="1480"/>
        <v>0</v>
      </c>
      <c r="I945" s="73">
        <f t="shared" si="1480"/>
        <v>32</v>
      </c>
      <c r="J945" s="73">
        <f t="shared" si="1480"/>
        <v>0</v>
      </c>
      <c r="K945" s="73">
        <f t="shared" si="1480"/>
        <v>32</v>
      </c>
      <c r="L945" s="292">
        <f t="shared" si="1480"/>
        <v>0</v>
      </c>
      <c r="M945" s="292">
        <f t="shared" si="1480"/>
        <v>0</v>
      </c>
      <c r="N945" s="292">
        <f t="shared" si="1480"/>
        <v>0</v>
      </c>
      <c r="O945" s="292">
        <f t="shared" si="1480"/>
        <v>0</v>
      </c>
      <c r="P945" s="292">
        <f t="shared" si="1480"/>
        <v>0</v>
      </c>
      <c r="Q945" s="117">
        <f t="shared" si="1435"/>
        <v>0</v>
      </c>
      <c r="R945" s="117">
        <f t="shared" si="1436"/>
        <v>0</v>
      </c>
      <c r="S945" s="292">
        <f t="shared" si="1480"/>
        <v>0</v>
      </c>
      <c r="T945" s="292">
        <f t="shared" si="1480"/>
        <v>0</v>
      </c>
      <c r="U945" s="292">
        <f t="shared" si="1480"/>
        <v>0</v>
      </c>
    </row>
    <row r="946" spans="1:21" ht="15" hidden="1" customHeight="1">
      <c r="A946" s="34"/>
      <c r="B946" s="33" t="s">
        <v>171</v>
      </c>
      <c r="C946" s="12" t="s">
        <v>172</v>
      </c>
      <c r="D946" s="68">
        <v>48</v>
      </c>
      <c r="E946" s="197">
        <v>0</v>
      </c>
      <c r="F946" s="68"/>
      <c r="G946" s="68"/>
      <c r="H946" s="68"/>
      <c r="I946" s="197">
        <v>32</v>
      </c>
      <c r="J946" s="197"/>
      <c r="K946" s="197">
        <v>32</v>
      </c>
      <c r="L946" s="282">
        <v>0</v>
      </c>
      <c r="M946" s="282">
        <v>0</v>
      </c>
      <c r="N946" s="282">
        <v>0</v>
      </c>
      <c r="O946" s="282">
        <v>0</v>
      </c>
      <c r="P946" s="282">
        <v>0</v>
      </c>
      <c r="Q946" s="117">
        <f t="shared" si="1435"/>
        <v>0</v>
      </c>
      <c r="R946" s="117">
        <f t="shared" si="1436"/>
        <v>0</v>
      </c>
      <c r="S946" s="282">
        <v>0</v>
      </c>
      <c r="T946" s="282">
        <v>0</v>
      </c>
      <c r="U946" s="282">
        <v>0</v>
      </c>
    </row>
    <row r="947" spans="1:21" ht="31.5" customHeight="1">
      <c r="A947" s="34" t="s">
        <v>368</v>
      </c>
      <c r="B947" s="50" t="s">
        <v>369</v>
      </c>
      <c r="C947" s="12" t="s">
        <v>365</v>
      </c>
      <c r="D947" s="73">
        <f t="shared" ref="D947:U947" si="1481">D948+D953</f>
        <v>1654</v>
      </c>
      <c r="E947" s="73">
        <f t="shared" ref="E947:F947" si="1482">E948+E953</f>
        <v>1716</v>
      </c>
      <c r="F947" s="73">
        <f t="shared" si="1482"/>
        <v>1822</v>
      </c>
      <c r="G947" s="73">
        <f t="shared" si="1481"/>
        <v>1942</v>
      </c>
      <c r="H947" s="73">
        <f t="shared" si="1481"/>
        <v>1822</v>
      </c>
      <c r="I947" s="73">
        <f t="shared" si="1481"/>
        <v>2015</v>
      </c>
      <c r="J947" s="73">
        <f t="shared" si="1481"/>
        <v>1700</v>
      </c>
      <c r="K947" s="73">
        <f t="shared" ref="K947:L947" si="1483">K948+K953</f>
        <v>1940</v>
      </c>
      <c r="L947" s="292">
        <f t="shared" si="1483"/>
        <v>1850</v>
      </c>
      <c r="M947" s="292">
        <f t="shared" ref="M947:P947" si="1484">M948+M953</f>
        <v>470</v>
      </c>
      <c r="N947" s="292">
        <f t="shared" si="1484"/>
        <v>470</v>
      </c>
      <c r="O947" s="292">
        <f t="shared" si="1484"/>
        <v>460</v>
      </c>
      <c r="P947" s="292">
        <f t="shared" si="1484"/>
        <v>450</v>
      </c>
      <c r="Q947" s="117">
        <f t="shared" si="1435"/>
        <v>1850</v>
      </c>
      <c r="R947" s="117">
        <f t="shared" si="1436"/>
        <v>0</v>
      </c>
      <c r="S947" s="292">
        <f t="shared" si="1481"/>
        <v>1850</v>
      </c>
      <c r="T947" s="292">
        <f t="shared" si="1481"/>
        <v>1850</v>
      </c>
      <c r="U947" s="292">
        <f t="shared" si="1481"/>
        <v>1850</v>
      </c>
    </row>
    <row r="948" spans="1:21" ht="15" customHeight="1">
      <c r="A948" s="34"/>
      <c r="B948" s="24" t="s">
        <v>153</v>
      </c>
      <c r="C948" s="12"/>
      <c r="D948" s="73">
        <f t="shared" ref="D948:U949" si="1485">D949</f>
        <v>1599</v>
      </c>
      <c r="E948" s="73">
        <f t="shared" si="1485"/>
        <v>1716</v>
      </c>
      <c r="F948" s="73">
        <f t="shared" si="1485"/>
        <v>1822</v>
      </c>
      <c r="G948" s="73">
        <f t="shared" si="1485"/>
        <v>1942</v>
      </c>
      <c r="H948" s="73">
        <f t="shared" si="1485"/>
        <v>1822</v>
      </c>
      <c r="I948" s="73">
        <f t="shared" si="1485"/>
        <v>2015</v>
      </c>
      <c r="J948" s="73">
        <f t="shared" si="1485"/>
        <v>1700</v>
      </c>
      <c r="K948" s="73">
        <f t="shared" si="1485"/>
        <v>1940</v>
      </c>
      <c r="L948" s="292">
        <f t="shared" si="1485"/>
        <v>1850</v>
      </c>
      <c r="M948" s="292">
        <f t="shared" si="1485"/>
        <v>470</v>
      </c>
      <c r="N948" s="292">
        <f t="shared" si="1485"/>
        <v>470</v>
      </c>
      <c r="O948" s="292">
        <f t="shared" si="1485"/>
        <v>460</v>
      </c>
      <c r="P948" s="292">
        <f t="shared" si="1485"/>
        <v>450</v>
      </c>
      <c r="Q948" s="117">
        <f t="shared" si="1435"/>
        <v>1850</v>
      </c>
      <c r="R948" s="117">
        <f t="shared" si="1436"/>
        <v>0</v>
      </c>
      <c r="S948" s="292">
        <f t="shared" si="1485"/>
        <v>1850</v>
      </c>
      <c r="T948" s="292">
        <f t="shared" si="1485"/>
        <v>1850</v>
      </c>
      <c r="U948" s="292">
        <f t="shared" si="1485"/>
        <v>1850</v>
      </c>
    </row>
    <row r="949" spans="1:21" ht="15" customHeight="1">
      <c r="A949" s="34"/>
      <c r="B949" s="33" t="s">
        <v>154</v>
      </c>
      <c r="C949" s="12">
        <v>1</v>
      </c>
      <c r="D949" s="69">
        <f t="shared" si="1485"/>
        <v>1599</v>
      </c>
      <c r="E949" s="69">
        <f t="shared" si="1485"/>
        <v>1716</v>
      </c>
      <c r="F949" s="69">
        <f t="shared" si="1485"/>
        <v>1822</v>
      </c>
      <c r="G949" s="69">
        <f t="shared" si="1485"/>
        <v>1942</v>
      </c>
      <c r="H949" s="69">
        <f t="shared" si="1485"/>
        <v>1822</v>
      </c>
      <c r="I949" s="69">
        <f t="shared" si="1485"/>
        <v>2015</v>
      </c>
      <c r="J949" s="69">
        <f t="shared" si="1485"/>
        <v>1700</v>
      </c>
      <c r="K949" s="69">
        <f t="shared" si="1485"/>
        <v>1940</v>
      </c>
      <c r="L949" s="283">
        <f t="shared" si="1485"/>
        <v>1850</v>
      </c>
      <c r="M949" s="283">
        <f t="shared" si="1485"/>
        <v>470</v>
      </c>
      <c r="N949" s="283">
        <f t="shared" si="1485"/>
        <v>470</v>
      </c>
      <c r="O949" s="283">
        <f t="shared" si="1485"/>
        <v>460</v>
      </c>
      <c r="P949" s="283">
        <f t="shared" si="1485"/>
        <v>450</v>
      </c>
      <c r="Q949" s="117">
        <f t="shared" si="1435"/>
        <v>1850</v>
      </c>
      <c r="R949" s="117">
        <f t="shared" si="1436"/>
        <v>0</v>
      </c>
      <c r="S949" s="283">
        <f t="shared" si="1485"/>
        <v>1850</v>
      </c>
      <c r="T949" s="283">
        <f t="shared" si="1485"/>
        <v>1850</v>
      </c>
      <c r="U949" s="283">
        <f t="shared" si="1485"/>
        <v>1850</v>
      </c>
    </row>
    <row r="950" spans="1:21" ht="15" customHeight="1">
      <c r="A950" s="34"/>
      <c r="B950" s="33" t="s">
        <v>251</v>
      </c>
      <c r="C950" s="12" t="s">
        <v>293</v>
      </c>
      <c r="D950" s="69">
        <f t="shared" ref="D950:U950" si="1486">D951+D952</f>
        <v>1599</v>
      </c>
      <c r="E950" s="69">
        <f t="shared" ref="E950:F950" si="1487">E951+E952</f>
        <v>1716</v>
      </c>
      <c r="F950" s="69">
        <f t="shared" si="1487"/>
        <v>1822</v>
      </c>
      <c r="G950" s="69">
        <f t="shared" si="1486"/>
        <v>1942</v>
      </c>
      <c r="H950" s="69">
        <f t="shared" si="1486"/>
        <v>1822</v>
      </c>
      <c r="I950" s="69">
        <f t="shared" si="1486"/>
        <v>2015</v>
      </c>
      <c r="J950" s="69">
        <f t="shared" si="1486"/>
        <v>1700</v>
      </c>
      <c r="K950" s="69">
        <f t="shared" ref="K950:L950" si="1488">K951+K952</f>
        <v>1940</v>
      </c>
      <c r="L950" s="283">
        <f t="shared" si="1488"/>
        <v>1850</v>
      </c>
      <c r="M950" s="283">
        <f t="shared" ref="M950:P950" si="1489">M951+M952</f>
        <v>470</v>
      </c>
      <c r="N950" s="283">
        <f t="shared" si="1489"/>
        <v>470</v>
      </c>
      <c r="O950" s="283">
        <f t="shared" si="1489"/>
        <v>460</v>
      </c>
      <c r="P950" s="283">
        <f t="shared" si="1489"/>
        <v>450</v>
      </c>
      <c r="Q950" s="117">
        <f t="shared" si="1435"/>
        <v>1850</v>
      </c>
      <c r="R950" s="117">
        <f t="shared" si="1436"/>
        <v>0</v>
      </c>
      <c r="S950" s="283">
        <f t="shared" si="1486"/>
        <v>1850</v>
      </c>
      <c r="T950" s="283">
        <f t="shared" si="1486"/>
        <v>1850</v>
      </c>
      <c r="U950" s="283">
        <f t="shared" si="1486"/>
        <v>1850</v>
      </c>
    </row>
    <row r="951" spans="1:21" ht="15" customHeight="1">
      <c r="A951" s="34"/>
      <c r="B951" s="33" t="s">
        <v>155</v>
      </c>
      <c r="C951" s="12">
        <v>10</v>
      </c>
      <c r="D951" s="68">
        <v>1188</v>
      </c>
      <c r="E951" s="197">
        <v>1299</v>
      </c>
      <c r="F951" s="68">
        <v>1322</v>
      </c>
      <c r="G951" s="68">
        <v>1442</v>
      </c>
      <c r="H951" s="68">
        <v>1322</v>
      </c>
      <c r="I951" s="197">
        <v>1515</v>
      </c>
      <c r="J951" s="197">
        <v>1300</v>
      </c>
      <c r="K951" s="197">
        <v>1450</v>
      </c>
      <c r="L951" s="282">
        <v>1450</v>
      </c>
      <c r="M951" s="282">
        <v>370</v>
      </c>
      <c r="N951" s="282">
        <v>370</v>
      </c>
      <c r="O951" s="282">
        <v>360</v>
      </c>
      <c r="P951" s="282">
        <v>350</v>
      </c>
      <c r="Q951" s="117">
        <f t="shared" si="1435"/>
        <v>1450</v>
      </c>
      <c r="R951" s="117">
        <f t="shared" si="1436"/>
        <v>0</v>
      </c>
      <c r="S951" s="282">
        <v>1450</v>
      </c>
      <c r="T951" s="282">
        <v>1450</v>
      </c>
      <c r="U951" s="282">
        <v>1450</v>
      </c>
    </row>
    <row r="952" spans="1:21" ht="14.25" customHeight="1">
      <c r="A952" s="34"/>
      <c r="B952" s="33" t="s">
        <v>156</v>
      </c>
      <c r="C952" s="12">
        <v>20</v>
      </c>
      <c r="D952" s="68">
        <v>411</v>
      </c>
      <c r="E952" s="197">
        <v>417</v>
      </c>
      <c r="F952" s="68">
        <v>500</v>
      </c>
      <c r="G952" s="68">
        <v>500</v>
      </c>
      <c r="H952" s="68">
        <v>500</v>
      </c>
      <c r="I952" s="197">
        <v>500</v>
      </c>
      <c r="J952" s="197">
        <v>400</v>
      </c>
      <c r="K952" s="197">
        <v>490</v>
      </c>
      <c r="L952" s="282">
        <v>400</v>
      </c>
      <c r="M952" s="282">
        <v>100</v>
      </c>
      <c r="N952" s="282">
        <v>100</v>
      </c>
      <c r="O952" s="282">
        <v>100</v>
      </c>
      <c r="P952" s="282">
        <v>100</v>
      </c>
      <c r="Q952" s="117">
        <f t="shared" si="1435"/>
        <v>400</v>
      </c>
      <c r="R952" s="117">
        <f t="shared" si="1436"/>
        <v>0</v>
      </c>
      <c r="S952" s="282">
        <v>400</v>
      </c>
      <c r="T952" s="282">
        <v>400</v>
      </c>
      <c r="U952" s="282">
        <v>400</v>
      </c>
    </row>
    <row r="953" spans="1:21" ht="15.75" hidden="1" customHeight="1">
      <c r="A953" s="34"/>
      <c r="B953" s="26" t="s">
        <v>165</v>
      </c>
      <c r="C953" s="12"/>
      <c r="D953" s="69">
        <f t="shared" ref="D953:U953" si="1490">D954</f>
        <v>55</v>
      </c>
      <c r="E953" s="69">
        <f t="shared" si="1490"/>
        <v>0</v>
      </c>
      <c r="F953" s="69">
        <f t="shared" si="1490"/>
        <v>0</v>
      </c>
      <c r="G953" s="69">
        <f t="shared" si="1490"/>
        <v>0</v>
      </c>
      <c r="H953" s="69">
        <f t="shared" si="1490"/>
        <v>0</v>
      </c>
      <c r="I953" s="69">
        <f t="shared" si="1490"/>
        <v>0</v>
      </c>
      <c r="J953" s="69">
        <f t="shared" si="1490"/>
        <v>0</v>
      </c>
      <c r="K953" s="69">
        <f t="shared" si="1490"/>
        <v>0</v>
      </c>
      <c r="L953" s="283">
        <f t="shared" si="1490"/>
        <v>0</v>
      </c>
      <c r="M953" s="283">
        <f t="shared" si="1490"/>
        <v>0</v>
      </c>
      <c r="N953" s="283">
        <f t="shared" si="1490"/>
        <v>0</v>
      </c>
      <c r="O953" s="283">
        <f t="shared" si="1490"/>
        <v>0</v>
      </c>
      <c r="P953" s="283">
        <f t="shared" si="1490"/>
        <v>0</v>
      </c>
      <c r="Q953" s="117">
        <f t="shared" si="1435"/>
        <v>0</v>
      </c>
      <c r="R953" s="117">
        <f t="shared" si="1436"/>
        <v>0</v>
      </c>
      <c r="S953" s="283">
        <f t="shared" si="1490"/>
        <v>0</v>
      </c>
      <c r="T953" s="283">
        <f t="shared" si="1490"/>
        <v>0</v>
      </c>
      <c r="U953" s="283">
        <f t="shared" si="1490"/>
        <v>0</v>
      </c>
    </row>
    <row r="954" spans="1:21" ht="15" hidden="1" customHeight="1">
      <c r="A954" s="34"/>
      <c r="B954" s="33" t="s">
        <v>171</v>
      </c>
      <c r="C954" s="12" t="s">
        <v>172</v>
      </c>
      <c r="D954" s="68">
        <v>55</v>
      </c>
      <c r="E954" s="197">
        <v>0</v>
      </c>
      <c r="F954" s="68"/>
      <c r="G954" s="68"/>
      <c r="H954" s="68"/>
      <c r="I954" s="197">
        <v>0</v>
      </c>
      <c r="J954" s="197"/>
      <c r="K954" s="197">
        <v>0</v>
      </c>
      <c r="L954" s="282"/>
      <c r="M954" s="282"/>
      <c r="N954" s="282"/>
      <c r="O954" s="282"/>
      <c r="P954" s="282"/>
      <c r="Q954" s="117">
        <f t="shared" si="1435"/>
        <v>0</v>
      </c>
      <c r="R954" s="117">
        <f t="shared" si="1436"/>
        <v>0</v>
      </c>
      <c r="S954" s="282">
        <v>0</v>
      </c>
      <c r="T954" s="282">
        <v>0</v>
      </c>
      <c r="U954" s="282">
        <v>0</v>
      </c>
    </row>
    <row r="955" spans="1:21" ht="42.75">
      <c r="A955" s="34" t="s">
        <v>370</v>
      </c>
      <c r="B955" s="31" t="s">
        <v>631</v>
      </c>
      <c r="C955" s="12" t="s">
        <v>371</v>
      </c>
      <c r="D955" s="73">
        <f t="shared" ref="D955:U957" si="1491">D956</f>
        <v>464</v>
      </c>
      <c r="E955" s="73">
        <f t="shared" si="1491"/>
        <v>375</v>
      </c>
      <c r="F955" s="73">
        <f t="shared" si="1491"/>
        <v>585</v>
      </c>
      <c r="G955" s="73">
        <f t="shared" si="1491"/>
        <v>585</v>
      </c>
      <c r="H955" s="73">
        <f t="shared" si="1491"/>
        <v>585</v>
      </c>
      <c r="I955" s="73">
        <f t="shared" si="1491"/>
        <v>700</v>
      </c>
      <c r="J955" s="73">
        <f t="shared" si="1491"/>
        <v>600</v>
      </c>
      <c r="K955" s="73">
        <f t="shared" si="1491"/>
        <v>700</v>
      </c>
      <c r="L955" s="292">
        <f t="shared" si="1491"/>
        <v>700</v>
      </c>
      <c r="M955" s="292">
        <f t="shared" si="1491"/>
        <v>0</v>
      </c>
      <c r="N955" s="292">
        <f t="shared" si="1491"/>
        <v>200</v>
      </c>
      <c r="O955" s="292">
        <f t="shared" si="1491"/>
        <v>500</v>
      </c>
      <c r="P955" s="292">
        <f t="shared" si="1491"/>
        <v>0</v>
      </c>
      <c r="Q955" s="117">
        <f t="shared" si="1435"/>
        <v>700</v>
      </c>
      <c r="R955" s="117">
        <f t="shared" si="1436"/>
        <v>0</v>
      </c>
      <c r="S955" s="292">
        <f t="shared" si="1491"/>
        <v>700</v>
      </c>
      <c r="T955" s="292">
        <f t="shared" si="1491"/>
        <v>700</v>
      </c>
      <c r="U955" s="292">
        <f t="shared" si="1491"/>
        <v>700</v>
      </c>
    </row>
    <row r="956" spans="1:21" ht="14.25">
      <c r="A956" s="34"/>
      <c r="B956" s="24" t="s">
        <v>153</v>
      </c>
      <c r="C956" s="12"/>
      <c r="D956" s="73">
        <f t="shared" si="1491"/>
        <v>464</v>
      </c>
      <c r="E956" s="73">
        <f t="shared" si="1491"/>
        <v>375</v>
      </c>
      <c r="F956" s="73">
        <f t="shared" si="1491"/>
        <v>585</v>
      </c>
      <c r="G956" s="73">
        <f t="shared" si="1491"/>
        <v>585</v>
      </c>
      <c r="H956" s="73">
        <f t="shared" si="1491"/>
        <v>585</v>
      </c>
      <c r="I956" s="73">
        <f t="shared" si="1491"/>
        <v>700</v>
      </c>
      <c r="J956" s="73">
        <f t="shared" si="1491"/>
        <v>600</v>
      </c>
      <c r="K956" s="73">
        <f t="shared" si="1491"/>
        <v>700</v>
      </c>
      <c r="L956" s="292">
        <f t="shared" si="1491"/>
        <v>700</v>
      </c>
      <c r="M956" s="292">
        <f t="shared" si="1491"/>
        <v>0</v>
      </c>
      <c r="N956" s="292">
        <f t="shared" si="1491"/>
        <v>200</v>
      </c>
      <c r="O956" s="292">
        <f t="shared" si="1491"/>
        <v>500</v>
      </c>
      <c r="P956" s="292">
        <f t="shared" si="1491"/>
        <v>0</v>
      </c>
      <c r="Q956" s="117">
        <f t="shared" si="1435"/>
        <v>700</v>
      </c>
      <c r="R956" s="117">
        <f t="shared" si="1436"/>
        <v>0</v>
      </c>
      <c r="S956" s="292">
        <f t="shared" si="1491"/>
        <v>700</v>
      </c>
      <c r="T956" s="292">
        <f t="shared" si="1491"/>
        <v>700</v>
      </c>
      <c r="U956" s="292">
        <f t="shared" si="1491"/>
        <v>700</v>
      </c>
    </row>
    <row r="957" spans="1:21" ht="15">
      <c r="A957" s="34"/>
      <c r="B957" s="33" t="s">
        <v>154</v>
      </c>
      <c r="C957" s="12">
        <v>1</v>
      </c>
      <c r="D957" s="69">
        <f t="shared" si="1491"/>
        <v>464</v>
      </c>
      <c r="E957" s="69">
        <f t="shared" si="1491"/>
        <v>375</v>
      </c>
      <c r="F957" s="69">
        <f t="shared" si="1491"/>
        <v>585</v>
      </c>
      <c r="G957" s="69">
        <f t="shared" si="1491"/>
        <v>585</v>
      </c>
      <c r="H957" s="69">
        <f t="shared" si="1491"/>
        <v>585</v>
      </c>
      <c r="I957" s="69">
        <f t="shared" si="1491"/>
        <v>700</v>
      </c>
      <c r="J957" s="69">
        <f t="shared" si="1491"/>
        <v>600</v>
      </c>
      <c r="K957" s="69">
        <f t="shared" si="1491"/>
        <v>700</v>
      </c>
      <c r="L957" s="283">
        <f t="shared" si="1491"/>
        <v>700</v>
      </c>
      <c r="M957" s="283">
        <f t="shared" si="1491"/>
        <v>0</v>
      </c>
      <c r="N957" s="283">
        <f t="shared" si="1491"/>
        <v>200</v>
      </c>
      <c r="O957" s="283">
        <f t="shared" si="1491"/>
        <v>500</v>
      </c>
      <c r="P957" s="283">
        <f t="shared" si="1491"/>
        <v>0</v>
      </c>
      <c r="Q957" s="117">
        <f t="shared" si="1435"/>
        <v>700</v>
      </c>
      <c r="R957" s="117">
        <f t="shared" si="1436"/>
        <v>0</v>
      </c>
      <c r="S957" s="283">
        <f t="shared" si="1491"/>
        <v>700</v>
      </c>
      <c r="T957" s="283">
        <f t="shared" si="1491"/>
        <v>700</v>
      </c>
      <c r="U957" s="283">
        <f t="shared" si="1491"/>
        <v>700</v>
      </c>
    </row>
    <row r="958" spans="1:21" ht="18" customHeight="1">
      <c r="A958" s="34"/>
      <c r="B958" s="33" t="s">
        <v>258</v>
      </c>
      <c r="C958" s="12" t="s">
        <v>269</v>
      </c>
      <c r="D958" s="68">
        <v>464</v>
      </c>
      <c r="E958" s="197">
        <v>375</v>
      </c>
      <c r="F958" s="68">
        <v>585</v>
      </c>
      <c r="G958" s="68">
        <f>120+465</f>
        <v>585</v>
      </c>
      <c r="H958" s="68">
        <v>585</v>
      </c>
      <c r="I958" s="197">
        <v>700</v>
      </c>
      <c r="J958" s="197">
        <v>600</v>
      </c>
      <c r="K958" s="197">
        <f>600+100</f>
        <v>700</v>
      </c>
      <c r="L958" s="282">
        <f t="shared" ref="L958:U958" si="1492">600+100</f>
        <v>700</v>
      </c>
      <c r="M958" s="282">
        <v>0</v>
      </c>
      <c r="N958" s="282">
        <v>200</v>
      </c>
      <c r="O958" s="282">
        <v>500</v>
      </c>
      <c r="P958" s="282">
        <v>0</v>
      </c>
      <c r="Q958" s="117">
        <f t="shared" si="1435"/>
        <v>700</v>
      </c>
      <c r="R958" s="117">
        <f t="shared" si="1436"/>
        <v>0</v>
      </c>
      <c r="S958" s="282">
        <f t="shared" si="1492"/>
        <v>700</v>
      </c>
      <c r="T958" s="282">
        <f t="shared" si="1492"/>
        <v>700</v>
      </c>
      <c r="U958" s="282">
        <f t="shared" si="1492"/>
        <v>700</v>
      </c>
    </row>
    <row r="959" spans="1:21" ht="17.25" hidden="1" customHeight="1">
      <c r="A959" s="34"/>
      <c r="B959" s="26" t="s">
        <v>611</v>
      </c>
      <c r="C959" s="12" t="s">
        <v>371</v>
      </c>
      <c r="D959" s="68"/>
      <c r="E959" s="68">
        <f t="shared" ref="E959:E960" si="1493">E960</f>
        <v>161</v>
      </c>
      <c r="F959" s="68">
        <f t="shared" ref="F959:H960" si="1494">F960</f>
        <v>274</v>
      </c>
      <c r="G959" s="68">
        <f t="shared" si="1494"/>
        <v>0</v>
      </c>
      <c r="H959" s="68">
        <f t="shared" si="1494"/>
        <v>274</v>
      </c>
      <c r="I959" s="68">
        <f t="shared" ref="I959:U960" si="1495">I960</f>
        <v>0</v>
      </c>
      <c r="J959" s="68">
        <f t="shared" si="1495"/>
        <v>0</v>
      </c>
      <c r="K959" s="68">
        <f t="shared" si="1495"/>
        <v>0</v>
      </c>
      <c r="L959" s="176">
        <f t="shared" si="1495"/>
        <v>0</v>
      </c>
      <c r="M959" s="176">
        <f t="shared" si="1495"/>
        <v>0</v>
      </c>
      <c r="N959" s="176">
        <f t="shared" si="1495"/>
        <v>0</v>
      </c>
      <c r="O959" s="176">
        <f t="shared" si="1495"/>
        <v>0</v>
      </c>
      <c r="P959" s="176">
        <f t="shared" si="1495"/>
        <v>0</v>
      </c>
      <c r="Q959" s="117">
        <f t="shared" si="1435"/>
        <v>0</v>
      </c>
      <c r="R959" s="117">
        <f t="shared" si="1436"/>
        <v>0</v>
      </c>
      <c r="S959" s="176">
        <f t="shared" si="1495"/>
        <v>0</v>
      </c>
      <c r="T959" s="176">
        <f t="shared" si="1495"/>
        <v>0</v>
      </c>
      <c r="U959" s="176">
        <f t="shared" si="1495"/>
        <v>0</v>
      </c>
    </row>
    <row r="960" spans="1:21" ht="17.25" hidden="1" customHeight="1">
      <c r="A960" s="34"/>
      <c r="B960" s="24" t="s">
        <v>153</v>
      </c>
      <c r="C960" s="12"/>
      <c r="D960" s="68"/>
      <c r="E960" s="68">
        <f t="shared" si="1493"/>
        <v>161</v>
      </c>
      <c r="F960" s="68">
        <f t="shared" si="1494"/>
        <v>274</v>
      </c>
      <c r="G960" s="68">
        <f t="shared" si="1494"/>
        <v>0</v>
      </c>
      <c r="H960" s="68">
        <f t="shared" si="1494"/>
        <v>274</v>
      </c>
      <c r="I960" s="68">
        <f t="shared" si="1495"/>
        <v>0</v>
      </c>
      <c r="J960" s="68">
        <f t="shared" si="1495"/>
        <v>0</v>
      </c>
      <c r="K960" s="68">
        <f t="shared" si="1495"/>
        <v>0</v>
      </c>
      <c r="L960" s="176">
        <f t="shared" si="1495"/>
        <v>0</v>
      </c>
      <c r="M960" s="176">
        <f t="shared" si="1495"/>
        <v>0</v>
      </c>
      <c r="N960" s="176">
        <f t="shared" si="1495"/>
        <v>0</v>
      </c>
      <c r="O960" s="176">
        <f t="shared" si="1495"/>
        <v>0</v>
      </c>
      <c r="P960" s="176">
        <f t="shared" si="1495"/>
        <v>0</v>
      </c>
      <c r="Q960" s="117">
        <f t="shared" si="1435"/>
        <v>0</v>
      </c>
      <c r="R960" s="117">
        <f t="shared" si="1436"/>
        <v>0</v>
      </c>
      <c r="S960" s="176">
        <f t="shared" si="1495"/>
        <v>0</v>
      </c>
      <c r="T960" s="176">
        <f t="shared" si="1495"/>
        <v>0</v>
      </c>
      <c r="U960" s="176">
        <f t="shared" si="1495"/>
        <v>0</v>
      </c>
    </row>
    <row r="961" spans="1:21" ht="18" hidden="1" customHeight="1">
      <c r="A961" s="34"/>
      <c r="B961" s="33" t="s">
        <v>154</v>
      </c>
      <c r="C961" s="12">
        <v>1</v>
      </c>
      <c r="D961" s="68"/>
      <c r="E961" s="68">
        <f t="shared" ref="E961" si="1496">E962+E963</f>
        <v>161</v>
      </c>
      <c r="F961" s="68">
        <f>F962+F963</f>
        <v>274</v>
      </c>
      <c r="G961" s="68">
        <f>G962+G963</f>
        <v>0</v>
      </c>
      <c r="H961" s="68">
        <f>H962+H963</f>
        <v>274</v>
      </c>
      <c r="I961" s="68">
        <f t="shared" ref="I961:U961" si="1497">I962+I963</f>
        <v>0</v>
      </c>
      <c r="J961" s="68">
        <f t="shared" si="1497"/>
        <v>0</v>
      </c>
      <c r="K961" s="68">
        <f t="shared" ref="K961:L961" si="1498">K962+K963</f>
        <v>0</v>
      </c>
      <c r="L961" s="176">
        <f t="shared" si="1498"/>
        <v>0</v>
      </c>
      <c r="M961" s="176">
        <f t="shared" ref="M961:P961" si="1499">M962+M963</f>
        <v>0</v>
      </c>
      <c r="N961" s="176">
        <f t="shared" si="1499"/>
        <v>0</v>
      </c>
      <c r="O961" s="176">
        <f t="shared" si="1499"/>
        <v>0</v>
      </c>
      <c r="P961" s="176">
        <f t="shared" si="1499"/>
        <v>0</v>
      </c>
      <c r="Q961" s="117">
        <f t="shared" si="1435"/>
        <v>0</v>
      </c>
      <c r="R961" s="117">
        <f t="shared" si="1436"/>
        <v>0</v>
      </c>
      <c r="S961" s="176">
        <f t="shared" si="1497"/>
        <v>0</v>
      </c>
      <c r="T961" s="176">
        <f t="shared" si="1497"/>
        <v>0</v>
      </c>
      <c r="U961" s="176">
        <f t="shared" si="1497"/>
        <v>0</v>
      </c>
    </row>
    <row r="962" spans="1:21" ht="36.75" hidden="1" customHeight="1">
      <c r="A962" s="34"/>
      <c r="B962" s="192" t="s">
        <v>612</v>
      </c>
      <c r="C962" s="195" t="s">
        <v>615</v>
      </c>
      <c r="D962" s="68"/>
      <c r="E962" s="197">
        <v>159</v>
      </c>
      <c r="F962" s="68">
        <v>220</v>
      </c>
      <c r="G962" s="68"/>
      <c r="H962" s="68">
        <v>220</v>
      </c>
      <c r="I962" s="197"/>
      <c r="J962" s="197"/>
      <c r="K962" s="197"/>
      <c r="L962" s="282"/>
      <c r="M962" s="282"/>
      <c r="N962" s="282"/>
      <c r="O962" s="282"/>
      <c r="P962" s="282"/>
      <c r="Q962" s="117">
        <f t="shared" si="1435"/>
        <v>0</v>
      </c>
      <c r="R962" s="117">
        <f t="shared" si="1436"/>
        <v>0</v>
      </c>
      <c r="S962" s="282"/>
      <c r="T962" s="282"/>
      <c r="U962" s="282"/>
    </row>
    <row r="963" spans="1:21" ht="35.25" hidden="1" customHeight="1">
      <c r="A963" s="34"/>
      <c r="B963" s="193" t="s">
        <v>613</v>
      </c>
      <c r="C963" s="194" t="s">
        <v>614</v>
      </c>
      <c r="D963" s="68"/>
      <c r="E963" s="197">
        <v>2</v>
      </c>
      <c r="F963" s="68">
        <v>54</v>
      </c>
      <c r="G963" s="68"/>
      <c r="H963" s="68">
        <v>54</v>
      </c>
      <c r="I963" s="197"/>
      <c r="J963" s="197"/>
      <c r="K963" s="197"/>
      <c r="L963" s="282"/>
      <c r="M963" s="282"/>
      <c r="N963" s="282"/>
      <c r="O963" s="282"/>
      <c r="P963" s="282"/>
      <c r="Q963" s="117">
        <f t="shared" si="1435"/>
        <v>0</v>
      </c>
      <c r="R963" s="117">
        <f t="shared" si="1436"/>
        <v>0</v>
      </c>
      <c r="S963" s="282"/>
      <c r="T963" s="282"/>
      <c r="U963" s="282"/>
    </row>
    <row r="964" spans="1:21" ht="26.25" customHeight="1">
      <c r="A964" s="41" t="s">
        <v>6</v>
      </c>
      <c r="B964" s="57" t="s">
        <v>602</v>
      </c>
      <c r="C964" s="90">
        <v>69.02</v>
      </c>
      <c r="D964" s="76">
        <f t="shared" ref="D964:U966" si="1500">D974+D1014</f>
        <v>2726</v>
      </c>
      <c r="E964" s="76">
        <f t="shared" ref="E964:F964" si="1501">E974+E1014</f>
        <v>2870.03</v>
      </c>
      <c r="F964" s="76">
        <f t="shared" si="1501"/>
        <v>3101</v>
      </c>
      <c r="G964" s="76">
        <f t="shared" si="1500"/>
        <v>2728</v>
      </c>
      <c r="H964" s="76">
        <f t="shared" si="1500"/>
        <v>3101</v>
      </c>
      <c r="I964" s="76">
        <f t="shared" si="1500"/>
        <v>5230.8</v>
      </c>
      <c r="J964" s="76">
        <f t="shared" si="1500"/>
        <v>2739</v>
      </c>
      <c r="K964" s="76">
        <f t="shared" ref="K964:L964" si="1502">K974+K1014</f>
        <v>5230.8</v>
      </c>
      <c r="L964" s="300">
        <f t="shared" si="1502"/>
        <v>2924</v>
      </c>
      <c r="M964" s="300">
        <f t="shared" ref="M964:P964" si="1503">M974+M1014</f>
        <v>800</v>
      </c>
      <c r="N964" s="300">
        <f t="shared" si="1503"/>
        <v>729</v>
      </c>
      <c r="O964" s="300">
        <f t="shared" si="1503"/>
        <v>710</v>
      </c>
      <c r="P964" s="300">
        <f t="shared" si="1503"/>
        <v>685</v>
      </c>
      <c r="Q964" s="117">
        <f t="shared" si="1435"/>
        <v>2924</v>
      </c>
      <c r="R964" s="117">
        <f t="shared" si="1436"/>
        <v>0</v>
      </c>
      <c r="S964" s="300">
        <f t="shared" si="1500"/>
        <v>2874</v>
      </c>
      <c r="T964" s="300">
        <f t="shared" si="1500"/>
        <v>2874</v>
      </c>
      <c r="U964" s="300">
        <f t="shared" si="1500"/>
        <v>2874</v>
      </c>
    </row>
    <row r="965" spans="1:21" ht="18" customHeight="1">
      <c r="A965" s="34"/>
      <c r="B965" s="24" t="s">
        <v>153</v>
      </c>
      <c r="C965" s="84"/>
      <c r="D965" s="76">
        <f t="shared" si="1500"/>
        <v>2361</v>
      </c>
      <c r="E965" s="76">
        <f t="shared" ref="E965:F965" si="1504">E975+E1015</f>
        <v>2675.73</v>
      </c>
      <c r="F965" s="76">
        <f t="shared" si="1504"/>
        <v>2856</v>
      </c>
      <c r="G965" s="76">
        <f t="shared" si="1500"/>
        <v>2683</v>
      </c>
      <c r="H965" s="76">
        <f t="shared" si="1500"/>
        <v>2856</v>
      </c>
      <c r="I965" s="76">
        <f t="shared" si="1500"/>
        <v>3131</v>
      </c>
      <c r="J965" s="76">
        <f t="shared" si="1500"/>
        <v>2739</v>
      </c>
      <c r="K965" s="76">
        <f t="shared" ref="K965:L965" si="1505">K975+K1015</f>
        <v>3131</v>
      </c>
      <c r="L965" s="300">
        <f t="shared" si="1505"/>
        <v>2874</v>
      </c>
      <c r="M965" s="300">
        <f t="shared" ref="M965:P965" si="1506">M975+M1015</f>
        <v>750</v>
      </c>
      <c r="N965" s="300">
        <f t="shared" si="1506"/>
        <v>729</v>
      </c>
      <c r="O965" s="300">
        <f t="shared" si="1506"/>
        <v>710</v>
      </c>
      <c r="P965" s="300">
        <f t="shared" si="1506"/>
        <v>685</v>
      </c>
      <c r="Q965" s="117">
        <f t="shared" si="1435"/>
        <v>2874</v>
      </c>
      <c r="R965" s="117">
        <f t="shared" si="1436"/>
        <v>0</v>
      </c>
      <c r="S965" s="300">
        <f t="shared" si="1500"/>
        <v>2874</v>
      </c>
      <c r="T965" s="300">
        <f t="shared" si="1500"/>
        <v>2874</v>
      </c>
      <c r="U965" s="300">
        <f t="shared" si="1500"/>
        <v>2874</v>
      </c>
    </row>
    <row r="966" spans="1:21" ht="15">
      <c r="A966" s="34"/>
      <c r="B966" s="33" t="s">
        <v>154</v>
      </c>
      <c r="C966" s="12">
        <v>1</v>
      </c>
      <c r="D966" s="69">
        <f t="shared" si="1500"/>
        <v>2361</v>
      </c>
      <c r="E966" s="69">
        <f t="shared" ref="E966:F966" si="1507">E976+E1016</f>
        <v>2697.5</v>
      </c>
      <c r="F966" s="69">
        <f t="shared" si="1507"/>
        <v>2856</v>
      </c>
      <c r="G966" s="69">
        <f t="shared" si="1500"/>
        <v>2683</v>
      </c>
      <c r="H966" s="69">
        <f t="shared" si="1500"/>
        <v>2856</v>
      </c>
      <c r="I966" s="69">
        <f t="shared" si="1500"/>
        <v>3131</v>
      </c>
      <c r="J966" s="69">
        <f t="shared" si="1500"/>
        <v>2739</v>
      </c>
      <c r="K966" s="69">
        <f t="shared" ref="K966:L966" si="1508">K976+K1016</f>
        <v>3131</v>
      </c>
      <c r="L966" s="283">
        <f t="shared" si="1508"/>
        <v>2874</v>
      </c>
      <c r="M966" s="283">
        <f t="shared" ref="M966:P966" si="1509">M976+M1016</f>
        <v>750</v>
      </c>
      <c r="N966" s="283">
        <f t="shared" si="1509"/>
        <v>729</v>
      </c>
      <c r="O966" s="283">
        <f t="shared" si="1509"/>
        <v>710</v>
      </c>
      <c r="P966" s="283">
        <f t="shared" si="1509"/>
        <v>685</v>
      </c>
      <c r="Q966" s="117">
        <f t="shared" si="1435"/>
        <v>2874</v>
      </c>
      <c r="R966" s="117">
        <f t="shared" si="1436"/>
        <v>0</v>
      </c>
      <c r="S966" s="283">
        <f t="shared" si="1500"/>
        <v>2874</v>
      </c>
      <c r="T966" s="283">
        <f t="shared" si="1500"/>
        <v>2874</v>
      </c>
      <c r="U966" s="283">
        <f t="shared" si="1500"/>
        <v>2874</v>
      </c>
    </row>
    <row r="967" spans="1:21" ht="15">
      <c r="A967" s="34"/>
      <c r="B967" s="33" t="s">
        <v>155</v>
      </c>
      <c r="C967" s="12">
        <v>10</v>
      </c>
      <c r="D967" s="69">
        <f t="shared" ref="D967:U967" si="1510">D977</f>
        <v>1435</v>
      </c>
      <c r="E967" s="69">
        <f t="shared" ref="E967:F967" si="1511">E977</f>
        <v>1760.22</v>
      </c>
      <c r="F967" s="69">
        <f t="shared" si="1511"/>
        <v>1850</v>
      </c>
      <c r="G967" s="69">
        <f t="shared" si="1510"/>
        <v>1850</v>
      </c>
      <c r="H967" s="69">
        <f t="shared" si="1510"/>
        <v>1850</v>
      </c>
      <c r="I967" s="69">
        <f t="shared" si="1510"/>
        <v>2035</v>
      </c>
      <c r="J967" s="69">
        <f t="shared" si="1510"/>
        <v>1800</v>
      </c>
      <c r="K967" s="69">
        <f t="shared" ref="K967:L967" si="1512">K977</f>
        <v>2035</v>
      </c>
      <c r="L967" s="283">
        <f t="shared" si="1512"/>
        <v>2035</v>
      </c>
      <c r="M967" s="283">
        <f t="shared" ref="M967:P967" si="1513">M977</f>
        <v>510</v>
      </c>
      <c r="N967" s="283">
        <f t="shared" si="1513"/>
        <v>510</v>
      </c>
      <c r="O967" s="283">
        <f t="shared" si="1513"/>
        <v>510</v>
      </c>
      <c r="P967" s="283">
        <f t="shared" si="1513"/>
        <v>505</v>
      </c>
      <c r="Q967" s="117">
        <f t="shared" si="1435"/>
        <v>2035</v>
      </c>
      <c r="R967" s="117">
        <f t="shared" si="1436"/>
        <v>0</v>
      </c>
      <c r="S967" s="283">
        <f t="shared" si="1510"/>
        <v>2035</v>
      </c>
      <c r="T967" s="283">
        <f t="shared" si="1510"/>
        <v>2035</v>
      </c>
      <c r="U967" s="283">
        <f t="shared" si="1510"/>
        <v>2035</v>
      </c>
    </row>
    <row r="968" spans="1:21" ht="15">
      <c r="A968" s="34"/>
      <c r="B968" s="33" t="s">
        <v>588</v>
      </c>
      <c r="C968" s="12">
        <v>20</v>
      </c>
      <c r="D968" s="69">
        <f t="shared" ref="D968:U969" si="1514">D978+D1017</f>
        <v>928</v>
      </c>
      <c r="E968" s="69">
        <f t="shared" ref="E968:F968" si="1515">E978+E1017</f>
        <v>937.28</v>
      </c>
      <c r="F968" s="69">
        <f t="shared" si="1515"/>
        <v>1006</v>
      </c>
      <c r="G968" s="69">
        <f t="shared" si="1514"/>
        <v>833</v>
      </c>
      <c r="H968" s="69">
        <f t="shared" si="1514"/>
        <v>1006</v>
      </c>
      <c r="I968" s="69">
        <f t="shared" si="1514"/>
        <v>1096</v>
      </c>
      <c r="J968" s="69">
        <f t="shared" si="1514"/>
        <v>939</v>
      </c>
      <c r="K968" s="69">
        <f t="shared" ref="K968:L968" si="1516">K978+K1017</f>
        <v>1096</v>
      </c>
      <c r="L968" s="283">
        <f t="shared" si="1516"/>
        <v>839</v>
      </c>
      <c r="M968" s="283">
        <f t="shared" ref="M968:P968" si="1517">M978+M1017</f>
        <v>240</v>
      </c>
      <c r="N968" s="283">
        <f t="shared" si="1517"/>
        <v>219</v>
      </c>
      <c r="O968" s="283">
        <f t="shared" si="1517"/>
        <v>200</v>
      </c>
      <c r="P968" s="283">
        <f t="shared" si="1517"/>
        <v>180</v>
      </c>
      <c r="Q968" s="117">
        <f t="shared" si="1435"/>
        <v>839</v>
      </c>
      <c r="R968" s="117">
        <f t="shared" si="1436"/>
        <v>0</v>
      </c>
      <c r="S968" s="283">
        <f t="shared" si="1514"/>
        <v>839</v>
      </c>
      <c r="T968" s="283">
        <f t="shared" si="1514"/>
        <v>839</v>
      </c>
      <c r="U968" s="283">
        <f t="shared" si="1514"/>
        <v>839</v>
      </c>
    </row>
    <row r="969" spans="1:21" ht="14.25" customHeight="1">
      <c r="A969" s="34"/>
      <c r="B969" s="26" t="s">
        <v>165</v>
      </c>
      <c r="C969" s="12"/>
      <c r="D969" s="73">
        <f t="shared" si="1514"/>
        <v>365</v>
      </c>
      <c r="E969" s="73">
        <f t="shared" ref="E969:F969" si="1518">E979+E1018</f>
        <v>194.3</v>
      </c>
      <c r="F969" s="73">
        <f t="shared" si="1518"/>
        <v>245</v>
      </c>
      <c r="G969" s="73">
        <f t="shared" si="1514"/>
        <v>45</v>
      </c>
      <c r="H969" s="73">
        <f t="shared" si="1514"/>
        <v>245</v>
      </c>
      <c r="I969" s="73">
        <f t="shared" si="1514"/>
        <v>2099.8000000000002</v>
      </c>
      <c r="J969" s="73">
        <f t="shared" si="1514"/>
        <v>0</v>
      </c>
      <c r="K969" s="73">
        <f t="shared" ref="K969:L969" si="1519">K979+K1018</f>
        <v>2099.8000000000002</v>
      </c>
      <c r="L969" s="292">
        <f t="shared" si="1519"/>
        <v>50</v>
      </c>
      <c r="M969" s="292">
        <f t="shared" ref="M969:P969" si="1520">M979+M1018</f>
        <v>50</v>
      </c>
      <c r="N969" s="292">
        <f t="shared" si="1520"/>
        <v>0</v>
      </c>
      <c r="O969" s="292">
        <f t="shared" si="1520"/>
        <v>0</v>
      </c>
      <c r="P969" s="292">
        <f t="shared" si="1520"/>
        <v>0</v>
      </c>
      <c r="Q969" s="117">
        <f t="shared" si="1435"/>
        <v>50</v>
      </c>
      <c r="R969" s="117">
        <f t="shared" si="1436"/>
        <v>0</v>
      </c>
      <c r="S969" s="292">
        <f t="shared" si="1514"/>
        <v>0</v>
      </c>
      <c r="T969" s="292">
        <f t="shared" si="1514"/>
        <v>0</v>
      </c>
      <c r="U969" s="292">
        <f t="shared" si="1514"/>
        <v>0</v>
      </c>
    </row>
    <row r="970" spans="1:21" ht="14.25" hidden="1" customHeight="1">
      <c r="A970" s="34"/>
      <c r="B970" s="26"/>
      <c r="C970" s="12"/>
      <c r="D970" s="73"/>
      <c r="E970" s="197"/>
      <c r="F970" s="73"/>
      <c r="G970" s="73"/>
      <c r="H970" s="73"/>
      <c r="I970" s="197"/>
      <c r="J970" s="197"/>
      <c r="K970" s="197"/>
      <c r="L970" s="282"/>
      <c r="M970" s="282"/>
      <c r="N970" s="282"/>
      <c r="O970" s="282"/>
      <c r="P970" s="282"/>
      <c r="Q970" s="117">
        <f t="shared" si="1435"/>
        <v>0</v>
      </c>
      <c r="R970" s="117">
        <f t="shared" si="1436"/>
        <v>0</v>
      </c>
      <c r="S970" s="282"/>
      <c r="T970" s="282"/>
      <c r="U970" s="282"/>
    </row>
    <row r="971" spans="1:21" ht="15" hidden="1" customHeight="1">
      <c r="A971" s="34"/>
      <c r="B971" s="26" t="s">
        <v>174</v>
      </c>
      <c r="C971" s="12">
        <v>56</v>
      </c>
      <c r="D971" s="69">
        <f t="shared" ref="D971:H971" si="1521">D980+D1019</f>
        <v>0</v>
      </c>
      <c r="E971" s="197"/>
      <c r="F971" s="69">
        <f t="shared" ref="F971" si="1522">F980+F1019</f>
        <v>0</v>
      </c>
      <c r="G971" s="69">
        <f t="shared" si="1521"/>
        <v>0</v>
      </c>
      <c r="H971" s="69">
        <f t="shared" si="1521"/>
        <v>0</v>
      </c>
      <c r="I971" s="197"/>
      <c r="J971" s="197"/>
      <c r="K971" s="197"/>
      <c r="L971" s="282"/>
      <c r="M971" s="282"/>
      <c r="N971" s="282"/>
      <c r="O971" s="282"/>
      <c r="P971" s="282"/>
      <c r="Q971" s="117">
        <f t="shared" si="1435"/>
        <v>0</v>
      </c>
      <c r="R971" s="117">
        <f t="shared" si="1436"/>
        <v>0</v>
      </c>
      <c r="S971" s="282"/>
      <c r="T971" s="282"/>
      <c r="U971" s="282"/>
    </row>
    <row r="972" spans="1:21" ht="29.25" hidden="1" customHeight="1">
      <c r="A972" s="34"/>
      <c r="B972" s="26" t="s">
        <v>174</v>
      </c>
      <c r="C972" s="12">
        <v>58</v>
      </c>
      <c r="D972" s="69">
        <f t="shared" ref="D972:U973" si="1523">D981</f>
        <v>0</v>
      </c>
      <c r="E972" s="197"/>
      <c r="F972" s="69">
        <f t="shared" ref="F972" si="1524">F981</f>
        <v>0</v>
      </c>
      <c r="G972" s="69">
        <f t="shared" si="1523"/>
        <v>0</v>
      </c>
      <c r="H972" s="69">
        <f t="shared" si="1523"/>
        <v>0</v>
      </c>
      <c r="I972" s="197"/>
      <c r="J972" s="197"/>
      <c r="K972" s="197"/>
      <c r="L972" s="282"/>
      <c r="M972" s="282"/>
      <c r="N972" s="282"/>
      <c r="O972" s="282"/>
      <c r="P972" s="282"/>
      <c r="Q972" s="117">
        <f t="shared" si="1435"/>
        <v>0</v>
      </c>
      <c r="R972" s="117">
        <f t="shared" si="1436"/>
        <v>0</v>
      </c>
      <c r="S972" s="282"/>
      <c r="T972" s="282"/>
      <c r="U972" s="282"/>
    </row>
    <row r="973" spans="1:21" ht="15.75" customHeight="1">
      <c r="A973" s="34"/>
      <c r="B973" s="33" t="s">
        <v>194</v>
      </c>
      <c r="C973" s="12">
        <v>70</v>
      </c>
      <c r="D973" s="69">
        <f t="shared" si="1523"/>
        <v>365</v>
      </c>
      <c r="E973" s="69">
        <f t="shared" ref="E973:F973" si="1525">E982</f>
        <v>194.3</v>
      </c>
      <c r="F973" s="69">
        <f t="shared" si="1525"/>
        <v>245</v>
      </c>
      <c r="G973" s="69">
        <f t="shared" si="1523"/>
        <v>45</v>
      </c>
      <c r="H973" s="69">
        <f t="shared" si="1523"/>
        <v>245</v>
      </c>
      <c r="I973" s="69">
        <f t="shared" si="1523"/>
        <v>2099.8000000000002</v>
      </c>
      <c r="J973" s="69">
        <f t="shared" si="1523"/>
        <v>0</v>
      </c>
      <c r="K973" s="69">
        <f t="shared" ref="K973:L973" si="1526">K982</f>
        <v>2099.8000000000002</v>
      </c>
      <c r="L973" s="283">
        <f t="shared" si="1526"/>
        <v>50</v>
      </c>
      <c r="M973" s="283">
        <f t="shared" ref="M973:P973" si="1527">M982</f>
        <v>50</v>
      </c>
      <c r="N973" s="283">
        <f t="shared" si="1527"/>
        <v>0</v>
      </c>
      <c r="O973" s="283">
        <f t="shared" si="1527"/>
        <v>0</v>
      </c>
      <c r="P973" s="283">
        <f t="shared" si="1527"/>
        <v>0</v>
      </c>
      <c r="Q973" s="117">
        <f t="shared" ref="Q973:Q1036" si="1528">M973+N973+O973+P973</f>
        <v>50</v>
      </c>
      <c r="R973" s="117">
        <f t="shared" ref="R973:R1036" si="1529">L973-Q973</f>
        <v>0</v>
      </c>
      <c r="S973" s="283">
        <f t="shared" si="1523"/>
        <v>0</v>
      </c>
      <c r="T973" s="283">
        <f t="shared" si="1523"/>
        <v>0</v>
      </c>
      <c r="U973" s="283">
        <f t="shared" si="1523"/>
        <v>0</v>
      </c>
    </row>
    <row r="974" spans="1:21" ht="28.5">
      <c r="A974" s="41">
        <v>1</v>
      </c>
      <c r="B974" s="187" t="s">
        <v>603</v>
      </c>
      <c r="C974" s="184">
        <v>70.02</v>
      </c>
      <c r="D974" s="185">
        <f>D983+D994+D1000+D1004</f>
        <v>2724</v>
      </c>
      <c r="E974" s="185">
        <f t="shared" ref="E974" si="1530">E983+E994+E1000+E1004+E991</f>
        <v>2870.03</v>
      </c>
      <c r="F974" s="185">
        <f>F983+F994+F1000+F1004+F991</f>
        <v>3051</v>
      </c>
      <c r="G974" s="185">
        <f>G983+G994+G1000+G1004+G991</f>
        <v>2695</v>
      </c>
      <c r="H974" s="185">
        <f>H983+H994+H1000+H1004+H991</f>
        <v>3051</v>
      </c>
      <c r="I974" s="185">
        <f t="shared" ref="I974:U974" si="1531">I983+I994+I1000+I1004+I991</f>
        <v>5191.8</v>
      </c>
      <c r="J974" s="185">
        <f t="shared" si="1531"/>
        <v>2700</v>
      </c>
      <c r="K974" s="185">
        <f t="shared" ref="K974:L974" si="1532">K983+K994+K1000+K1004+K991</f>
        <v>5191.8</v>
      </c>
      <c r="L974" s="299">
        <f t="shared" si="1532"/>
        <v>2885</v>
      </c>
      <c r="M974" s="299">
        <f t="shared" ref="M974:P974" si="1533">M983+M994+M1000+M1004+M991</f>
        <v>800</v>
      </c>
      <c r="N974" s="299">
        <f t="shared" si="1533"/>
        <v>690</v>
      </c>
      <c r="O974" s="299">
        <f t="shared" si="1533"/>
        <v>710</v>
      </c>
      <c r="P974" s="299">
        <f t="shared" si="1533"/>
        <v>685</v>
      </c>
      <c r="Q974" s="117">
        <f t="shared" si="1528"/>
        <v>2885</v>
      </c>
      <c r="R974" s="117">
        <f t="shared" si="1529"/>
        <v>0</v>
      </c>
      <c r="S974" s="299">
        <f t="shared" si="1531"/>
        <v>2835</v>
      </c>
      <c r="T974" s="299">
        <f t="shared" si="1531"/>
        <v>2835</v>
      </c>
      <c r="U974" s="299">
        <f t="shared" si="1531"/>
        <v>2835</v>
      </c>
    </row>
    <row r="975" spans="1:21" ht="14.25">
      <c r="A975" s="34"/>
      <c r="B975" s="24" t="s">
        <v>153</v>
      </c>
      <c r="C975" s="84"/>
      <c r="D975" s="73">
        <f t="shared" ref="D975:U976" si="1534">D984+D1005</f>
        <v>2359</v>
      </c>
      <c r="E975" s="73">
        <f t="shared" ref="E975:F975" si="1535">E984+E1005</f>
        <v>2675.73</v>
      </c>
      <c r="F975" s="73">
        <f t="shared" si="1535"/>
        <v>2806</v>
      </c>
      <c r="G975" s="73">
        <f t="shared" si="1534"/>
        <v>2650</v>
      </c>
      <c r="H975" s="73">
        <f t="shared" si="1534"/>
        <v>2806</v>
      </c>
      <c r="I975" s="73">
        <f t="shared" si="1534"/>
        <v>3092</v>
      </c>
      <c r="J975" s="73">
        <f t="shared" si="1534"/>
        <v>2700</v>
      </c>
      <c r="K975" s="73">
        <f t="shared" ref="K975:L975" si="1536">K984+K1005</f>
        <v>3092</v>
      </c>
      <c r="L975" s="292">
        <f t="shared" si="1536"/>
        <v>2835</v>
      </c>
      <c r="M975" s="292">
        <f t="shared" ref="M975:P975" si="1537">M984+M1005</f>
        <v>750</v>
      </c>
      <c r="N975" s="292">
        <f t="shared" si="1537"/>
        <v>690</v>
      </c>
      <c r="O975" s="292">
        <f t="shared" si="1537"/>
        <v>710</v>
      </c>
      <c r="P975" s="292">
        <f t="shared" si="1537"/>
        <v>685</v>
      </c>
      <c r="Q975" s="117">
        <f t="shared" si="1528"/>
        <v>2835</v>
      </c>
      <c r="R975" s="117">
        <f t="shared" si="1529"/>
        <v>0</v>
      </c>
      <c r="S975" s="292">
        <f t="shared" si="1534"/>
        <v>2835</v>
      </c>
      <c r="T975" s="292">
        <f t="shared" si="1534"/>
        <v>2835</v>
      </c>
      <c r="U975" s="292">
        <f t="shared" si="1534"/>
        <v>2835</v>
      </c>
    </row>
    <row r="976" spans="1:21" ht="15">
      <c r="A976" s="34"/>
      <c r="B976" s="33" t="s">
        <v>154</v>
      </c>
      <c r="C976" s="84">
        <v>1</v>
      </c>
      <c r="D976" s="73">
        <f t="shared" si="1534"/>
        <v>2359</v>
      </c>
      <c r="E976" s="73">
        <f t="shared" ref="E976:F976" si="1538">E985+E1006</f>
        <v>2697.5</v>
      </c>
      <c r="F976" s="73">
        <f t="shared" si="1538"/>
        <v>2806</v>
      </c>
      <c r="G976" s="73">
        <f t="shared" si="1534"/>
        <v>2650</v>
      </c>
      <c r="H976" s="73">
        <f t="shared" si="1534"/>
        <v>2806</v>
      </c>
      <c r="I976" s="73">
        <f t="shared" si="1534"/>
        <v>3092</v>
      </c>
      <c r="J976" s="73">
        <f t="shared" si="1534"/>
        <v>2700</v>
      </c>
      <c r="K976" s="73">
        <f t="shared" ref="K976:L976" si="1539">K985+K1006</f>
        <v>3092</v>
      </c>
      <c r="L976" s="292">
        <f t="shared" si="1539"/>
        <v>2835</v>
      </c>
      <c r="M976" s="292">
        <f t="shared" ref="M976:P976" si="1540">M985+M1006</f>
        <v>750</v>
      </c>
      <c r="N976" s="292">
        <f t="shared" si="1540"/>
        <v>690</v>
      </c>
      <c r="O976" s="292">
        <f t="shared" si="1540"/>
        <v>710</v>
      </c>
      <c r="P976" s="292">
        <f t="shared" si="1540"/>
        <v>685</v>
      </c>
      <c r="Q976" s="117">
        <f t="shared" si="1528"/>
        <v>2835</v>
      </c>
      <c r="R976" s="117">
        <f t="shared" si="1529"/>
        <v>0</v>
      </c>
      <c r="S976" s="292">
        <f t="shared" si="1534"/>
        <v>2835</v>
      </c>
      <c r="T976" s="292">
        <f t="shared" si="1534"/>
        <v>2835</v>
      </c>
      <c r="U976" s="292">
        <f t="shared" si="1534"/>
        <v>2835</v>
      </c>
    </row>
    <row r="977" spans="1:21" ht="15">
      <c r="A977" s="34"/>
      <c r="B977" s="33" t="s">
        <v>155</v>
      </c>
      <c r="C977" s="84">
        <v>10</v>
      </c>
      <c r="D977" s="73">
        <f t="shared" ref="D977:U977" si="1541">D986</f>
        <v>1435</v>
      </c>
      <c r="E977" s="73">
        <f t="shared" ref="E977:F977" si="1542">E986</f>
        <v>1760.22</v>
      </c>
      <c r="F977" s="73">
        <f t="shared" si="1542"/>
        <v>1850</v>
      </c>
      <c r="G977" s="73">
        <f t="shared" si="1541"/>
        <v>1850</v>
      </c>
      <c r="H977" s="73">
        <f t="shared" si="1541"/>
        <v>1850</v>
      </c>
      <c r="I977" s="73">
        <f t="shared" si="1541"/>
        <v>2035</v>
      </c>
      <c r="J977" s="73">
        <f t="shared" si="1541"/>
        <v>1800</v>
      </c>
      <c r="K977" s="73">
        <f t="shared" ref="K977:L977" si="1543">K986</f>
        <v>2035</v>
      </c>
      <c r="L977" s="292">
        <f t="shared" si="1543"/>
        <v>2035</v>
      </c>
      <c r="M977" s="292">
        <f t="shared" ref="M977:P977" si="1544">M986</f>
        <v>510</v>
      </c>
      <c r="N977" s="292">
        <f t="shared" si="1544"/>
        <v>510</v>
      </c>
      <c r="O977" s="292">
        <f t="shared" si="1544"/>
        <v>510</v>
      </c>
      <c r="P977" s="292">
        <f t="shared" si="1544"/>
        <v>505</v>
      </c>
      <c r="Q977" s="117">
        <f t="shared" si="1528"/>
        <v>2035</v>
      </c>
      <c r="R977" s="117">
        <f t="shared" si="1529"/>
        <v>0</v>
      </c>
      <c r="S977" s="292">
        <f t="shared" si="1541"/>
        <v>2035</v>
      </c>
      <c r="T977" s="292">
        <f t="shared" si="1541"/>
        <v>2035</v>
      </c>
      <c r="U977" s="292">
        <f t="shared" si="1541"/>
        <v>2035</v>
      </c>
    </row>
    <row r="978" spans="1:21" ht="15">
      <c r="A978" s="34"/>
      <c r="B978" s="33" t="s">
        <v>588</v>
      </c>
      <c r="C978" s="84">
        <v>20</v>
      </c>
      <c r="D978" s="73">
        <f t="shared" ref="D978:U978" si="1545">D987+D1007</f>
        <v>926</v>
      </c>
      <c r="E978" s="73">
        <f t="shared" ref="E978:F978" si="1546">E987+E1007</f>
        <v>937.28</v>
      </c>
      <c r="F978" s="73">
        <f t="shared" si="1546"/>
        <v>956</v>
      </c>
      <c r="G978" s="73">
        <f t="shared" si="1545"/>
        <v>800</v>
      </c>
      <c r="H978" s="73">
        <f t="shared" si="1545"/>
        <v>956</v>
      </c>
      <c r="I978" s="73">
        <f t="shared" si="1545"/>
        <v>1057</v>
      </c>
      <c r="J978" s="73">
        <f t="shared" si="1545"/>
        <v>900</v>
      </c>
      <c r="K978" s="73">
        <f t="shared" ref="K978:L978" si="1547">K987+K1007</f>
        <v>1057</v>
      </c>
      <c r="L978" s="292">
        <f t="shared" si="1547"/>
        <v>800</v>
      </c>
      <c r="M978" s="292">
        <f t="shared" ref="M978:P978" si="1548">M987+M1007</f>
        <v>240</v>
      </c>
      <c r="N978" s="292">
        <f t="shared" si="1548"/>
        <v>180</v>
      </c>
      <c r="O978" s="292">
        <f t="shared" si="1548"/>
        <v>200</v>
      </c>
      <c r="P978" s="292">
        <f t="shared" si="1548"/>
        <v>180</v>
      </c>
      <c r="Q978" s="117">
        <f t="shared" si="1528"/>
        <v>800</v>
      </c>
      <c r="R978" s="117">
        <f t="shared" si="1529"/>
        <v>0</v>
      </c>
      <c r="S978" s="292">
        <f t="shared" si="1545"/>
        <v>800</v>
      </c>
      <c r="T978" s="292">
        <f t="shared" si="1545"/>
        <v>800</v>
      </c>
      <c r="U978" s="292">
        <f t="shared" si="1545"/>
        <v>800</v>
      </c>
    </row>
    <row r="979" spans="1:21" ht="19.5" customHeight="1">
      <c r="A979" s="34"/>
      <c r="B979" s="26" t="s">
        <v>165</v>
      </c>
      <c r="C979" s="84"/>
      <c r="D979" s="73">
        <f>D989+D995+D1001+D1008</f>
        <v>365</v>
      </c>
      <c r="E979" s="73">
        <f t="shared" ref="E979" si="1549">E989+E995+E1001+E1008+E992</f>
        <v>194.3</v>
      </c>
      <c r="F979" s="73">
        <f>F989+F995+F1001+F1008+F992</f>
        <v>245</v>
      </c>
      <c r="G979" s="73">
        <f>G989+G995+G1001+G1008+G992</f>
        <v>45</v>
      </c>
      <c r="H979" s="73">
        <f>H989+H995+H1001+H1008+H992</f>
        <v>245</v>
      </c>
      <c r="I979" s="73">
        <f t="shared" ref="I979:U979" si="1550">I989+I995+I1001+I1008+I992</f>
        <v>2099.8000000000002</v>
      </c>
      <c r="J979" s="73">
        <f t="shared" si="1550"/>
        <v>0</v>
      </c>
      <c r="K979" s="73">
        <f t="shared" ref="K979:L979" si="1551">K989+K995+K1001+K1008+K992</f>
        <v>2099.8000000000002</v>
      </c>
      <c r="L979" s="292">
        <f t="shared" si="1551"/>
        <v>50</v>
      </c>
      <c r="M979" s="292">
        <f t="shared" ref="M979:P979" si="1552">M989+M995+M1001+M1008+M992</f>
        <v>50</v>
      </c>
      <c r="N979" s="292">
        <f t="shared" si="1552"/>
        <v>0</v>
      </c>
      <c r="O979" s="292">
        <f t="shared" si="1552"/>
        <v>0</v>
      </c>
      <c r="P979" s="292">
        <f t="shared" si="1552"/>
        <v>0</v>
      </c>
      <c r="Q979" s="117">
        <f t="shared" si="1528"/>
        <v>50</v>
      </c>
      <c r="R979" s="117">
        <f t="shared" si="1529"/>
        <v>0</v>
      </c>
      <c r="S979" s="292">
        <f t="shared" si="1550"/>
        <v>0</v>
      </c>
      <c r="T979" s="292">
        <f t="shared" si="1550"/>
        <v>0</v>
      </c>
      <c r="U979" s="292">
        <f t="shared" si="1550"/>
        <v>0</v>
      </c>
    </row>
    <row r="980" spans="1:21" ht="0.75" customHeight="1">
      <c r="A980" s="34"/>
      <c r="B980" s="26" t="s">
        <v>174</v>
      </c>
      <c r="C980" s="84">
        <v>56</v>
      </c>
      <c r="D980" s="73">
        <f t="shared" ref="D980:H980" si="1553">D996+D1002</f>
        <v>0</v>
      </c>
      <c r="E980" s="197"/>
      <c r="F980" s="73">
        <f t="shared" ref="F980" si="1554">F996+F1002</f>
        <v>0</v>
      </c>
      <c r="G980" s="73">
        <f t="shared" si="1553"/>
        <v>0</v>
      </c>
      <c r="H980" s="73">
        <f t="shared" si="1553"/>
        <v>0</v>
      </c>
      <c r="I980" s="197"/>
      <c r="J980" s="197"/>
      <c r="K980" s="197"/>
      <c r="L980" s="282"/>
      <c r="M980" s="282"/>
      <c r="N980" s="282"/>
      <c r="O980" s="282"/>
      <c r="P980" s="282"/>
      <c r="Q980" s="117">
        <f t="shared" si="1528"/>
        <v>0</v>
      </c>
      <c r="R980" s="117">
        <f t="shared" si="1529"/>
        <v>0</v>
      </c>
      <c r="S980" s="282"/>
      <c r="T980" s="282"/>
      <c r="U980" s="282"/>
    </row>
    <row r="981" spans="1:21" ht="14.25" hidden="1" customHeight="1">
      <c r="A981" s="34"/>
      <c r="B981" s="26" t="s">
        <v>174</v>
      </c>
      <c r="C981" s="84">
        <v>58</v>
      </c>
      <c r="D981" s="73">
        <f t="shared" ref="D981:H981" si="1555">D1009</f>
        <v>0</v>
      </c>
      <c r="E981" s="197"/>
      <c r="F981" s="73">
        <f t="shared" ref="F981" si="1556">F1009</f>
        <v>0</v>
      </c>
      <c r="G981" s="73">
        <f t="shared" si="1555"/>
        <v>0</v>
      </c>
      <c r="H981" s="73">
        <f t="shared" si="1555"/>
        <v>0</v>
      </c>
      <c r="I981" s="197"/>
      <c r="J981" s="197"/>
      <c r="K981" s="197"/>
      <c r="L981" s="282"/>
      <c r="M981" s="282"/>
      <c r="N981" s="282"/>
      <c r="O981" s="282"/>
      <c r="P981" s="282"/>
      <c r="Q981" s="117">
        <f t="shared" si="1528"/>
        <v>0</v>
      </c>
      <c r="R981" s="117">
        <f t="shared" si="1529"/>
        <v>0</v>
      </c>
      <c r="S981" s="282"/>
      <c r="T981" s="282"/>
      <c r="U981" s="282"/>
    </row>
    <row r="982" spans="1:21" ht="15">
      <c r="A982" s="34"/>
      <c r="B982" s="33" t="s">
        <v>194</v>
      </c>
      <c r="C982" s="84">
        <v>70</v>
      </c>
      <c r="D982" s="73">
        <f t="shared" ref="D982" si="1557">D990</f>
        <v>365</v>
      </c>
      <c r="E982" s="73">
        <f t="shared" ref="E982" si="1558">E990+E993</f>
        <v>194.3</v>
      </c>
      <c r="F982" s="73">
        <f>F990+F993</f>
        <v>245</v>
      </c>
      <c r="G982" s="73">
        <f>G990+G993</f>
        <v>45</v>
      </c>
      <c r="H982" s="73">
        <f>H990+H993</f>
        <v>245</v>
      </c>
      <c r="I982" s="73">
        <f t="shared" ref="I982:U982" si="1559">I990+I993</f>
        <v>2099.8000000000002</v>
      </c>
      <c r="J982" s="73">
        <f t="shared" si="1559"/>
        <v>0</v>
      </c>
      <c r="K982" s="73">
        <f t="shared" ref="K982:L982" si="1560">K990+K993</f>
        <v>2099.8000000000002</v>
      </c>
      <c r="L982" s="292">
        <f t="shared" si="1560"/>
        <v>50</v>
      </c>
      <c r="M982" s="292">
        <f t="shared" ref="M982:P982" si="1561">M990+M993</f>
        <v>50</v>
      </c>
      <c r="N982" s="292">
        <f t="shared" si="1561"/>
        <v>0</v>
      </c>
      <c r="O982" s="292">
        <f t="shared" si="1561"/>
        <v>0</v>
      </c>
      <c r="P982" s="292">
        <f t="shared" si="1561"/>
        <v>0</v>
      </c>
      <c r="Q982" s="117">
        <f t="shared" si="1528"/>
        <v>50</v>
      </c>
      <c r="R982" s="117">
        <f t="shared" si="1529"/>
        <v>0</v>
      </c>
      <c r="S982" s="292">
        <f t="shared" si="1559"/>
        <v>0</v>
      </c>
      <c r="T982" s="292">
        <f t="shared" si="1559"/>
        <v>0</v>
      </c>
      <c r="U982" s="292">
        <f t="shared" si="1559"/>
        <v>0</v>
      </c>
    </row>
    <row r="983" spans="1:21" ht="28.5">
      <c r="A983" s="34" t="s">
        <v>256</v>
      </c>
      <c r="B983" s="50" t="s">
        <v>372</v>
      </c>
      <c r="C983" s="84" t="s">
        <v>373</v>
      </c>
      <c r="D983" s="73">
        <f t="shared" ref="D983:U983" si="1562">D984+D989</f>
        <v>2724</v>
      </c>
      <c r="E983" s="73">
        <f t="shared" ref="E983:F983" si="1563">E984+E989</f>
        <v>2720.03</v>
      </c>
      <c r="F983" s="73">
        <f t="shared" si="1563"/>
        <v>2851</v>
      </c>
      <c r="G983" s="73">
        <f t="shared" si="1562"/>
        <v>2695</v>
      </c>
      <c r="H983" s="73">
        <f t="shared" si="1562"/>
        <v>2851</v>
      </c>
      <c r="I983" s="73">
        <f t="shared" si="1562"/>
        <v>5191.8</v>
      </c>
      <c r="J983" s="73">
        <f t="shared" si="1562"/>
        <v>2700</v>
      </c>
      <c r="K983" s="73">
        <f t="shared" ref="K983:L983" si="1564">K984+K989</f>
        <v>5191.8</v>
      </c>
      <c r="L983" s="292">
        <f t="shared" si="1564"/>
        <v>2885</v>
      </c>
      <c r="M983" s="292">
        <f t="shared" ref="M983:P983" si="1565">M984+M989</f>
        <v>800</v>
      </c>
      <c r="N983" s="292">
        <f t="shared" si="1565"/>
        <v>690</v>
      </c>
      <c r="O983" s="292">
        <f t="shared" si="1565"/>
        <v>710</v>
      </c>
      <c r="P983" s="292">
        <f t="shared" si="1565"/>
        <v>685</v>
      </c>
      <c r="Q983" s="117">
        <f t="shared" si="1528"/>
        <v>2885</v>
      </c>
      <c r="R983" s="117">
        <f t="shared" si="1529"/>
        <v>0</v>
      </c>
      <c r="S983" s="292">
        <f t="shared" si="1562"/>
        <v>2835</v>
      </c>
      <c r="T983" s="292">
        <f t="shared" si="1562"/>
        <v>2835</v>
      </c>
      <c r="U983" s="292">
        <f t="shared" si="1562"/>
        <v>2835</v>
      </c>
    </row>
    <row r="984" spans="1:21" ht="14.25">
      <c r="A984" s="34"/>
      <c r="B984" s="24" t="s">
        <v>153</v>
      </c>
      <c r="C984" s="12"/>
      <c r="D984" s="73">
        <f t="shared" ref="D984" si="1566">D985</f>
        <v>2359</v>
      </c>
      <c r="E984" s="73">
        <f t="shared" ref="E984:F984" si="1567">E985+E988</f>
        <v>2675.73</v>
      </c>
      <c r="F984" s="73">
        <f t="shared" si="1567"/>
        <v>2806</v>
      </c>
      <c r="G984" s="73">
        <f>G985+G988</f>
        <v>2650</v>
      </c>
      <c r="H984" s="73">
        <f t="shared" ref="H984:U984" si="1568">H985+H988</f>
        <v>2806</v>
      </c>
      <c r="I984" s="73">
        <f t="shared" si="1568"/>
        <v>3092</v>
      </c>
      <c r="J984" s="73">
        <f t="shared" si="1568"/>
        <v>2700</v>
      </c>
      <c r="K984" s="73">
        <f t="shared" ref="K984:L984" si="1569">K985+K988</f>
        <v>3092</v>
      </c>
      <c r="L984" s="292">
        <f t="shared" si="1569"/>
        <v>2835</v>
      </c>
      <c r="M984" s="292">
        <f t="shared" ref="M984:P984" si="1570">M985+M988</f>
        <v>750</v>
      </c>
      <c r="N984" s="292">
        <f t="shared" si="1570"/>
        <v>690</v>
      </c>
      <c r="O984" s="292">
        <f t="shared" si="1570"/>
        <v>710</v>
      </c>
      <c r="P984" s="292">
        <f t="shared" si="1570"/>
        <v>685</v>
      </c>
      <c r="Q984" s="117">
        <f t="shared" si="1528"/>
        <v>2835</v>
      </c>
      <c r="R984" s="117">
        <f t="shared" si="1529"/>
        <v>0</v>
      </c>
      <c r="S984" s="292">
        <f t="shared" si="1568"/>
        <v>2835</v>
      </c>
      <c r="T984" s="292">
        <f t="shared" si="1568"/>
        <v>2835</v>
      </c>
      <c r="U984" s="292">
        <f t="shared" si="1568"/>
        <v>2835</v>
      </c>
    </row>
    <row r="985" spans="1:21" ht="15">
      <c r="A985" s="34"/>
      <c r="B985" s="33" t="s">
        <v>154</v>
      </c>
      <c r="C985" s="12">
        <v>1</v>
      </c>
      <c r="D985" s="69">
        <f>D986+D987+D988</f>
        <v>2359</v>
      </c>
      <c r="E985" s="69">
        <f t="shared" ref="E985:F985" si="1571">E986+E987</f>
        <v>2697.5</v>
      </c>
      <c r="F985" s="69">
        <f t="shared" si="1571"/>
        <v>2806</v>
      </c>
      <c r="G985" s="69">
        <f t="shared" ref="G985:U985" si="1572">G986+G987</f>
        <v>2650</v>
      </c>
      <c r="H985" s="69">
        <f t="shared" si="1572"/>
        <v>2806</v>
      </c>
      <c r="I985" s="69">
        <f t="shared" si="1572"/>
        <v>3092</v>
      </c>
      <c r="J985" s="69">
        <f t="shared" si="1572"/>
        <v>2700</v>
      </c>
      <c r="K985" s="69">
        <f t="shared" ref="K985:L985" si="1573">K986+K987</f>
        <v>3092</v>
      </c>
      <c r="L985" s="283">
        <f t="shared" si="1573"/>
        <v>2835</v>
      </c>
      <c r="M985" s="283">
        <f t="shared" ref="M985:P985" si="1574">M986+M987</f>
        <v>750</v>
      </c>
      <c r="N985" s="283">
        <f t="shared" si="1574"/>
        <v>690</v>
      </c>
      <c r="O985" s="283">
        <f t="shared" si="1574"/>
        <v>710</v>
      </c>
      <c r="P985" s="283">
        <f t="shared" si="1574"/>
        <v>685</v>
      </c>
      <c r="Q985" s="117">
        <f t="shared" si="1528"/>
        <v>2835</v>
      </c>
      <c r="R985" s="117">
        <f t="shared" si="1529"/>
        <v>0</v>
      </c>
      <c r="S985" s="283">
        <f t="shared" si="1572"/>
        <v>2835</v>
      </c>
      <c r="T985" s="283">
        <f t="shared" si="1572"/>
        <v>2835</v>
      </c>
      <c r="U985" s="283">
        <f t="shared" si="1572"/>
        <v>2835</v>
      </c>
    </row>
    <row r="986" spans="1:21" ht="15">
      <c r="A986" s="34"/>
      <c r="B986" s="33" t="s">
        <v>155</v>
      </c>
      <c r="C986" s="12">
        <v>10</v>
      </c>
      <c r="D986" s="68">
        <v>1435</v>
      </c>
      <c r="E986" s="197">
        <v>1760.22</v>
      </c>
      <c r="F986" s="68">
        <v>1850</v>
      </c>
      <c r="G986" s="68">
        <v>1850</v>
      </c>
      <c r="H986" s="68">
        <v>1850</v>
      </c>
      <c r="I986" s="197">
        <v>2035</v>
      </c>
      <c r="J986" s="197">
        <v>1800</v>
      </c>
      <c r="K986" s="197">
        <v>2035</v>
      </c>
      <c r="L986" s="282">
        <v>2035</v>
      </c>
      <c r="M986" s="282">
        <v>510</v>
      </c>
      <c r="N986" s="282">
        <v>510</v>
      </c>
      <c r="O986" s="282">
        <v>510</v>
      </c>
      <c r="P986" s="282">
        <v>505</v>
      </c>
      <c r="Q986" s="117">
        <f t="shared" si="1528"/>
        <v>2035</v>
      </c>
      <c r="R986" s="117">
        <f t="shared" si="1529"/>
        <v>0</v>
      </c>
      <c r="S986" s="282">
        <v>2035</v>
      </c>
      <c r="T986" s="282">
        <v>2035</v>
      </c>
      <c r="U986" s="282">
        <v>2035</v>
      </c>
    </row>
    <row r="987" spans="1:21" ht="17.25" customHeight="1">
      <c r="A987" s="34"/>
      <c r="B987" s="33" t="s">
        <v>588</v>
      </c>
      <c r="C987" s="12">
        <v>20</v>
      </c>
      <c r="D987" s="68">
        <v>926</v>
      </c>
      <c r="E987" s="197">
        <v>937.28</v>
      </c>
      <c r="F987" s="68">
        <v>956</v>
      </c>
      <c r="G987" s="68">
        <v>800</v>
      </c>
      <c r="H987" s="68">
        <v>956</v>
      </c>
      <c r="I987" s="197">
        <v>1057</v>
      </c>
      <c r="J987" s="197">
        <v>900</v>
      </c>
      <c r="K987" s="197">
        <v>1057</v>
      </c>
      <c r="L987" s="282">
        <v>800</v>
      </c>
      <c r="M987" s="282">
        <v>240</v>
      </c>
      <c r="N987" s="282">
        <v>180</v>
      </c>
      <c r="O987" s="282">
        <v>200</v>
      </c>
      <c r="P987" s="282">
        <v>180</v>
      </c>
      <c r="Q987" s="117">
        <f t="shared" si="1528"/>
        <v>800</v>
      </c>
      <c r="R987" s="117">
        <f t="shared" si="1529"/>
        <v>0</v>
      </c>
      <c r="S987" s="282">
        <v>800</v>
      </c>
      <c r="T987" s="282">
        <v>800</v>
      </c>
      <c r="U987" s="282">
        <v>800</v>
      </c>
    </row>
    <row r="988" spans="1:21" ht="15" hidden="1" customHeight="1">
      <c r="A988" s="34"/>
      <c r="B988" s="33" t="s">
        <v>164</v>
      </c>
      <c r="C988" s="12" t="s">
        <v>252</v>
      </c>
      <c r="D988" s="68">
        <v>-2</v>
      </c>
      <c r="E988" s="197">
        <v>-21.77</v>
      </c>
      <c r="F988" s="68"/>
      <c r="G988" s="68"/>
      <c r="H988" s="68"/>
      <c r="I988" s="197"/>
      <c r="J988" s="197"/>
      <c r="K988" s="197"/>
      <c r="L988" s="282"/>
      <c r="M988" s="282"/>
      <c r="N988" s="282"/>
      <c r="O988" s="282"/>
      <c r="P988" s="282"/>
      <c r="Q988" s="117">
        <f t="shared" si="1528"/>
        <v>0</v>
      </c>
      <c r="R988" s="117">
        <f t="shared" si="1529"/>
        <v>0</v>
      </c>
      <c r="S988" s="282"/>
      <c r="T988" s="282"/>
      <c r="U988" s="282"/>
    </row>
    <row r="989" spans="1:21" ht="18.75" customHeight="1">
      <c r="A989" s="34"/>
      <c r="B989" s="26" t="s">
        <v>165</v>
      </c>
      <c r="C989" s="12"/>
      <c r="D989" s="73">
        <f t="shared" ref="D989:U989" si="1575">D990</f>
        <v>365</v>
      </c>
      <c r="E989" s="73">
        <f t="shared" si="1575"/>
        <v>44.3</v>
      </c>
      <c r="F989" s="73">
        <f t="shared" si="1575"/>
        <v>45</v>
      </c>
      <c r="G989" s="73">
        <f t="shared" si="1575"/>
        <v>45</v>
      </c>
      <c r="H989" s="73">
        <f t="shared" si="1575"/>
        <v>45</v>
      </c>
      <c r="I989" s="73">
        <f t="shared" si="1575"/>
        <v>2099.8000000000002</v>
      </c>
      <c r="J989" s="73">
        <f t="shared" si="1575"/>
        <v>0</v>
      </c>
      <c r="K989" s="73">
        <f t="shared" si="1575"/>
        <v>2099.8000000000002</v>
      </c>
      <c r="L989" s="292">
        <f t="shared" si="1575"/>
        <v>50</v>
      </c>
      <c r="M989" s="292">
        <f t="shared" si="1575"/>
        <v>50</v>
      </c>
      <c r="N989" s="292">
        <f t="shared" si="1575"/>
        <v>0</v>
      </c>
      <c r="O989" s="292">
        <f t="shared" si="1575"/>
        <v>0</v>
      </c>
      <c r="P989" s="292">
        <f t="shared" si="1575"/>
        <v>0</v>
      </c>
      <c r="Q989" s="117">
        <f t="shared" si="1528"/>
        <v>50</v>
      </c>
      <c r="R989" s="117">
        <f t="shared" si="1529"/>
        <v>0</v>
      </c>
      <c r="S989" s="292">
        <f t="shared" si="1575"/>
        <v>0</v>
      </c>
      <c r="T989" s="292">
        <f t="shared" si="1575"/>
        <v>0</v>
      </c>
      <c r="U989" s="292">
        <f t="shared" si="1575"/>
        <v>0</v>
      </c>
    </row>
    <row r="990" spans="1:21" ht="17.25" customHeight="1">
      <c r="A990" s="34"/>
      <c r="B990" s="33" t="s">
        <v>194</v>
      </c>
      <c r="C990" s="12">
        <v>70</v>
      </c>
      <c r="D990" s="68">
        <v>365</v>
      </c>
      <c r="E990" s="197">
        <v>44.3</v>
      </c>
      <c r="F990" s="68">
        <v>45</v>
      </c>
      <c r="G990" s="68">
        <v>45</v>
      </c>
      <c r="H990" s="68">
        <v>45</v>
      </c>
      <c r="I990" s="197">
        <v>2099.8000000000002</v>
      </c>
      <c r="J990" s="197"/>
      <c r="K990" s="197">
        <v>2099.8000000000002</v>
      </c>
      <c r="L990" s="282">
        <v>50</v>
      </c>
      <c r="M990" s="282">
        <v>50</v>
      </c>
      <c r="N990" s="282"/>
      <c r="O990" s="282"/>
      <c r="P990" s="282"/>
      <c r="Q990" s="117">
        <f t="shared" si="1528"/>
        <v>50</v>
      </c>
      <c r="R990" s="117">
        <f t="shared" si="1529"/>
        <v>0</v>
      </c>
      <c r="S990" s="282"/>
      <c r="T990" s="282"/>
      <c r="U990" s="282"/>
    </row>
    <row r="991" spans="1:21" ht="17.25" hidden="1" customHeight="1">
      <c r="A991" s="34"/>
      <c r="B991" s="26" t="s">
        <v>610</v>
      </c>
      <c r="C991" s="84" t="s">
        <v>373</v>
      </c>
      <c r="D991" s="68"/>
      <c r="E991" s="68">
        <f t="shared" ref="E991:E992" si="1576">E992</f>
        <v>150</v>
      </c>
      <c r="F991" s="68">
        <f t="shared" ref="F991:H992" si="1577">F992</f>
        <v>200</v>
      </c>
      <c r="G991" s="68">
        <f t="shared" si="1577"/>
        <v>0</v>
      </c>
      <c r="H991" s="68">
        <f t="shared" si="1577"/>
        <v>200</v>
      </c>
      <c r="I991" s="68">
        <f t="shared" ref="I991:U992" si="1578">I992</f>
        <v>0</v>
      </c>
      <c r="J991" s="68">
        <f t="shared" si="1578"/>
        <v>0</v>
      </c>
      <c r="K991" s="68">
        <f t="shared" si="1578"/>
        <v>0</v>
      </c>
      <c r="L991" s="176">
        <f t="shared" si="1578"/>
        <v>0</v>
      </c>
      <c r="M991" s="176">
        <f t="shared" si="1578"/>
        <v>0</v>
      </c>
      <c r="N991" s="176">
        <f t="shared" si="1578"/>
        <v>0</v>
      </c>
      <c r="O991" s="176">
        <f t="shared" si="1578"/>
        <v>0</v>
      </c>
      <c r="P991" s="176">
        <f t="shared" si="1578"/>
        <v>0</v>
      </c>
      <c r="Q991" s="117">
        <f t="shared" si="1528"/>
        <v>0</v>
      </c>
      <c r="R991" s="117">
        <f t="shared" si="1529"/>
        <v>0</v>
      </c>
      <c r="S991" s="176">
        <f t="shared" si="1578"/>
        <v>0</v>
      </c>
      <c r="T991" s="176">
        <f t="shared" si="1578"/>
        <v>0</v>
      </c>
      <c r="U991" s="176">
        <f t="shared" si="1578"/>
        <v>0</v>
      </c>
    </row>
    <row r="992" spans="1:21" ht="17.25" hidden="1" customHeight="1">
      <c r="A992" s="34"/>
      <c r="B992" s="26" t="s">
        <v>165</v>
      </c>
      <c r="C992" s="12"/>
      <c r="D992" s="68"/>
      <c r="E992" s="68">
        <f t="shared" si="1576"/>
        <v>150</v>
      </c>
      <c r="F992" s="68">
        <f t="shared" si="1577"/>
        <v>200</v>
      </c>
      <c r="G992" s="68">
        <f t="shared" si="1577"/>
        <v>0</v>
      </c>
      <c r="H992" s="68">
        <f t="shared" si="1577"/>
        <v>200</v>
      </c>
      <c r="I992" s="68">
        <f t="shared" si="1578"/>
        <v>0</v>
      </c>
      <c r="J992" s="68">
        <f t="shared" si="1578"/>
        <v>0</v>
      </c>
      <c r="K992" s="68">
        <f t="shared" si="1578"/>
        <v>0</v>
      </c>
      <c r="L992" s="176">
        <f t="shared" si="1578"/>
        <v>0</v>
      </c>
      <c r="M992" s="176">
        <f t="shared" si="1578"/>
        <v>0</v>
      </c>
      <c r="N992" s="176">
        <f t="shared" si="1578"/>
        <v>0</v>
      </c>
      <c r="O992" s="176">
        <f t="shared" si="1578"/>
        <v>0</v>
      </c>
      <c r="P992" s="176">
        <f t="shared" si="1578"/>
        <v>0</v>
      </c>
      <c r="Q992" s="117">
        <f t="shared" si="1528"/>
        <v>0</v>
      </c>
      <c r="R992" s="117">
        <f t="shared" si="1529"/>
        <v>0</v>
      </c>
      <c r="S992" s="176">
        <f t="shared" si="1578"/>
        <v>0</v>
      </c>
      <c r="T992" s="176">
        <f t="shared" si="1578"/>
        <v>0</v>
      </c>
      <c r="U992" s="176">
        <f t="shared" si="1578"/>
        <v>0</v>
      </c>
    </row>
    <row r="993" spans="1:21" ht="17.25" hidden="1" customHeight="1">
      <c r="A993" s="34"/>
      <c r="B993" s="33" t="s">
        <v>194</v>
      </c>
      <c r="C993" s="12">
        <v>70</v>
      </c>
      <c r="D993" s="68"/>
      <c r="E993" s="197">
        <v>150</v>
      </c>
      <c r="F993" s="68">
        <v>200</v>
      </c>
      <c r="G993" s="68"/>
      <c r="H993" s="68">
        <v>200</v>
      </c>
      <c r="I993" s="197">
        <v>0</v>
      </c>
      <c r="J993" s="197"/>
      <c r="K993" s="197">
        <v>0</v>
      </c>
      <c r="L993" s="282"/>
      <c r="M993" s="282"/>
      <c r="N993" s="282"/>
      <c r="O993" s="282"/>
      <c r="P993" s="282"/>
      <c r="Q993" s="117">
        <f t="shared" si="1528"/>
        <v>0</v>
      </c>
      <c r="R993" s="117">
        <f t="shared" si="1529"/>
        <v>0</v>
      </c>
      <c r="S993" s="282"/>
      <c r="T993" s="282"/>
      <c r="U993" s="282"/>
    </row>
    <row r="994" spans="1:21" ht="27" hidden="1" customHeight="1">
      <c r="A994" s="34" t="s">
        <v>275</v>
      </c>
      <c r="B994" s="31" t="s">
        <v>374</v>
      </c>
      <c r="C994" s="84" t="s">
        <v>373</v>
      </c>
      <c r="D994" s="73">
        <f t="shared" ref="D994:U995" si="1579">D995</f>
        <v>0</v>
      </c>
      <c r="E994" s="73">
        <f t="shared" si="1579"/>
        <v>0</v>
      </c>
      <c r="F994" s="73">
        <f t="shared" si="1579"/>
        <v>0</v>
      </c>
      <c r="G994" s="73">
        <f t="shared" si="1579"/>
        <v>0</v>
      </c>
      <c r="H994" s="73">
        <f t="shared" si="1579"/>
        <v>0</v>
      </c>
      <c r="I994" s="73">
        <f t="shared" si="1579"/>
        <v>0</v>
      </c>
      <c r="J994" s="73">
        <f t="shared" si="1579"/>
        <v>0</v>
      </c>
      <c r="K994" s="73">
        <f t="shared" si="1579"/>
        <v>0</v>
      </c>
      <c r="L994" s="292">
        <f t="shared" si="1579"/>
        <v>0</v>
      </c>
      <c r="M994" s="292">
        <f t="shared" si="1579"/>
        <v>0</v>
      </c>
      <c r="N994" s="292">
        <f t="shared" si="1579"/>
        <v>0</v>
      </c>
      <c r="O994" s="292">
        <f t="shared" si="1579"/>
        <v>0</v>
      </c>
      <c r="P994" s="292">
        <f t="shared" si="1579"/>
        <v>0</v>
      </c>
      <c r="Q994" s="117">
        <f t="shared" si="1528"/>
        <v>0</v>
      </c>
      <c r="R994" s="117">
        <f t="shared" si="1529"/>
        <v>0</v>
      </c>
      <c r="S994" s="292">
        <f t="shared" si="1579"/>
        <v>0</v>
      </c>
      <c r="T994" s="292">
        <f t="shared" si="1579"/>
        <v>0</v>
      </c>
      <c r="U994" s="292">
        <f t="shared" si="1579"/>
        <v>0</v>
      </c>
    </row>
    <row r="995" spans="1:21" ht="19.5" hidden="1" customHeight="1">
      <c r="A995" s="34"/>
      <c r="B995" s="26" t="s">
        <v>165</v>
      </c>
      <c r="C995" s="12"/>
      <c r="D995" s="73">
        <f t="shared" si="1579"/>
        <v>0</v>
      </c>
      <c r="E995" s="73">
        <f t="shared" si="1579"/>
        <v>0</v>
      </c>
      <c r="F995" s="73">
        <f t="shared" si="1579"/>
        <v>0</v>
      </c>
      <c r="G995" s="73">
        <f t="shared" si="1579"/>
        <v>0</v>
      </c>
      <c r="H995" s="73">
        <f t="shared" si="1579"/>
        <v>0</v>
      </c>
      <c r="I995" s="73">
        <f t="shared" si="1579"/>
        <v>0</v>
      </c>
      <c r="J995" s="73">
        <f t="shared" si="1579"/>
        <v>0</v>
      </c>
      <c r="K995" s="73">
        <f t="shared" si="1579"/>
        <v>0</v>
      </c>
      <c r="L995" s="292">
        <f t="shared" si="1579"/>
        <v>0</v>
      </c>
      <c r="M995" s="292">
        <f t="shared" si="1579"/>
        <v>0</v>
      </c>
      <c r="N995" s="292">
        <f t="shared" si="1579"/>
        <v>0</v>
      </c>
      <c r="O995" s="292">
        <f t="shared" si="1579"/>
        <v>0</v>
      </c>
      <c r="P995" s="292">
        <f t="shared" si="1579"/>
        <v>0</v>
      </c>
      <c r="Q995" s="117">
        <f t="shared" si="1528"/>
        <v>0</v>
      </c>
      <c r="R995" s="117">
        <f t="shared" si="1529"/>
        <v>0</v>
      </c>
      <c r="S995" s="292">
        <f t="shared" si="1579"/>
        <v>0</v>
      </c>
      <c r="T995" s="292">
        <f t="shared" si="1579"/>
        <v>0</v>
      </c>
      <c r="U995" s="292">
        <f t="shared" si="1579"/>
        <v>0</v>
      </c>
    </row>
    <row r="996" spans="1:21" ht="18" hidden="1" customHeight="1">
      <c r="A996" s="34"/>
      <c r="B996" s="33" t="s">
        <v>174</v>
      </c>
      <c r="C996" s="12">
        <v>56</v>
      </c>
      <c r="D996" s="69">
        <f t="shared" ref="D996:U996" si="1580">D997+D998+D999</f>
        <v>0</v>
      </c>
      <c r="E996" s="69">
        <f t="shared" ref="E996:F996" si="1581">E997+E998+E999</f>
        <v>0</v>
      </c>
      <c r="F996" s="69">
        <f t="shared" si="1581"/>
        <v>0</v>
      </c>
      <c r="G996" s="69">
        <f t="shared" si="1580"/>
        <v>0</v>
      </c>
      <c r="H996" s="69">
        <f t="shared" si="1580"/>
        <v>0</v>
      </c>
      <c r="I996" s="69">
        <f t="shared" si="1580"/>
        <v>0</v>
      </c>
      <c r="J996" s="69">
        <f t="shared" si="1580"/>
        <v>0</v>
      </c>
      <c r="K996" s="69">
        <f t="shared" ref="K996:L996" si="1582">K997+K998+K999</f>
        <v>0</v>
      </c>
      <c r="L996" s="283">
        <f t="shared" si="1582"/>
        <v>0</v>
      </c>
      <c r="M996" s="283">
        <f t="shared" ref="M996:P996" si="1583">M997+M998+M999</f>
        <v>0</v>
      </c>
      <c r="N996" s="283">
        <f t="shared" si="1583"/>
        <v>0</v>
      </c>
      <c r="O996" s="283">
        <f t="shared" si="1583"/>
        <v>0</v>
      </c>
      <c r="P996" s="283">
        <f t="shared" si="1583"/>
        <v>0</v>
      </c>
      <c r="Q996" s="117">
        <f t="shared" si="1528"/>
        <v>0</v>
      </c>
      <c r="R996" s="117">
        <f t="shared" si="1529"/>
        <v>0</v>
      </c>
      <c r="S996" s="283">
        <f t="shared" si="1580"/>
        <v>0</v>
      </c>
      <c r="T996" s="283">
        <f t="shared" si="1580"/>
        <v>0</v>
      </c>
      <c r="U996" s="283">
        <f t="shared" si="1580"/>
        <v>0</v>
      </c>
    </row>
    <row r="997" spans="1:21" ht="24" hidden="1" customHeight="1">
      <c r="A997" s="34"/>
      <c r="B997" s="21" t="s">
        <v>205</v>
      </c>
      <c r="C997" s="12" t="s">
        <v>206</v>
      </c>
      <c r="D997" s="68"/>
      <c r="E997" s="197"/>
      <c r="F997" s="68"/>
      <c r="G997" s="68"/>
      <c r="H997" s="68"/>
      <c r="I997" s="197"/>
      <c r="J997" s="197"/>
      <c r="K997" s="197"/>
      <c r="L997" s="282"/>
      <c r="M997" s="282"/>
      <c r="N997" s="282"/>
      <c r="O997" s="282"/>
      <c r="P997" s="282"/>
      <c r="Q997" s="117">
        <f t="shared" si="1528"/>
        <v>0</v>
      </c>
      <c r="R997" s="117">
        <f t="shared" si="1529"/>
        <v>0</v>
      </c>
      <c r="S997" s="282"/>
      <c r="T997" s="282"/>
      <c r="U997" s="282"/>
    </row>
    <row r="998" spans="1:21" ht="24" hidden="1" customHeight="1">
      <c r="A998" s="34"/>
      <c r="B998" s="21" t="s">
        <v>207</v>
      </c>
      <c r="C998" s="12" t="s">
        <v>208</v>
      </c>
      <c r="D998" s="68"/>
      <c r="E998" s="197"/>
      <c r="F998" s="68"/>
      <c r="G998" s="68"/>
      <c r="H998" s="68"/>
      <c r="I998" s="197"/>
      <c r="J998" s="197"/>
      <c r="K998" s="197"/>
      <c r="L998" s="282"/>
      <c r="M998" s="282"/>
      <c r="N998" s="282"/>
      <c r="O998" s="282"/>
      <c r="P998" s="282"/>
      <c r="Q998" s="117">
        <f t="shared" si="1528"/>
        <v>0</v>
      </c>
      <c r="R998" s="117">
        <f t="shared" si="1529"/>
        <v>0</v>
      </c>
      <c r="S998" s="282"/>
      <c r="T998" s="282"/>
      <c r="U998" s="282"/>
    </row>
    <row r="999" spans="1:21" ht="14.25" hidden="1" customHeight="1">
      <c r="A999" s="34"/>
      <c r="B999" s="21" t="s">
        <v>210</v>
      </c>
      <c r="C999" s="12" t="s">
        <v>209</v>
      </c>
      <c r="D999" s="68"/>
      <c r="E999" s="197"/>
      <c r="F999" s="68"/>
      <c r="G999" s="68"/>
      <c r="H999" s="68"/>
      <c r="I999" s="197"/>
      <c r="J999" s="197"/>
      <c r="K999" s="197"/>
      <c r="L999" s="282"/>
      <c r="M999" s="282"/>
      <c r="N999" s="282"/>
      <c r="O999" s="282"/>
      <c r="P999" s="282"/>
      <c r="Q999" s="117">
        <f t="shared" si="1528"/>
        <v>0</v>
      </c>
      <c r="R999" s="117">
        <f t="shared" si="1529"/>
        <v>0</v>
      </c>
      <c r="S999" s="282"/>
      <c r="T999" s="282"/>
      <c r="U999" s="282"/>
    </row>
    <row r="1000" spans="1:21" ht="35.25" hidden="1" customHeight="1">
      <c r="A1000" s="34" t="s">
        <v>375</v>
      </c>
      <c r="B1000" s="31" t="s">
        <v>376</v>
      </c>
      <c r="C1000" s="84" t="s">
        <v>377</v>
      </c>
      <c r="D1000" s="73">
        <f t="shared" ref="D1000:U1000" si="1584">D1002</f>
        <v>0</v>
      </c>
      <c r="E1000" s="73">
        <f t="shared" ref="E1000:F1000" si="1585">E1002</f>
        <v>0</v>
      </c>
      <c r="F1000" s="73">
        <f t="shared" si="1585"/>
        <v>0</v>
      </c>
      <c r="G1000" s="73">
        <f t="shared" si="1584"/>
        <v>0</v>
      </c>
      <c r="H1000" s="73">
        <f t="shared" si="1584"/>
        <v>0</v>
      </c>
      <c r="I1000" s="73">
        <f t="shared" si="1584"/>
        <v>0</v>
      </c>
      <c r="J1000" s="73">
        <f t="shared" si="1584"/>
        <v>0</v>
      </c>
      <c r="K1000" s="73">
        <f t="shared" ref="K1000:L1000" si="1586">K1002</f>
        <v>0</v>
      </c>
      <c r="L1000" s="292">
        <f t="shared" si="1586"/>
        <v>0</v>
      </c>
      <c r="M1000" s="292">
        <f t="shared" ref="M1000:P1000" si="1587">M1002</f>
        <v>0</v>
      </c>
      <c r="N1000" s="292">
        <f t="shared" si="1587"/>
        <v>0</v>
      </c>
      <c r="O1000" s="292">
        <f t="shared" si="1587"/>
        <v>0</v>
      </c>
      <c r="P1000" s="292">
        <f t="shared" si="1587"/>
        <v>0</v>
      </c>
      <c r="Q1000" s="117">
        <f t="shared" si="1528"/>
        <v>0</v>
      </c>
      <c r="R1000" s="117">
        <f t="shared" si="1529"/>
        <v>0</v>
      </c>
      <c r="S1000" s="292">
        <f t="shared" si="1584"/>
        <v>0</v>
      </c>
      <c r="T1000" s="292">
        <f t="shared" si="1584"/>
        <v>0</v>
      </c>
      <c r="U1000" s="292">
        <f t="shared" si="1584"/>
        <v>0</v>
      </c>
    </row>
    <row r="1001" spans="1:21" ht="19.5" hidden="1" customHeight="1">
      <c r="A1001" s="34"/>
      <c r="B1001" s="26" t="s">
        <v>165</v>
      </c>
      <c r="C1001" s="12"/>
      <c r="D1001" s="69">
        <f t="shared" ref="D1001:U1002" si="1588">D1002</f>
        <v>0</v>
      </c>
      <c r="E1001" s="69">
        <f t="shared" si="1588"/>
        <v>0</v>
      </c>
      <c r="F1001" s="69">
        <f t="shared" si="1588"/>
        <v>0</v>
      </c>
      <c r="G1001" s="69">
        <f t="shared" si="1588"/>
        <v>0</v>
      </c>
      <c r="H1001" s="69">
        <f t="shared" si="1588"/>
        <v>0</v>
      </c>
      <c r="I1001" s="69">
        <f t="shared" si="1588"/>
        <v>0</v>
      </c>
      <c r="J1001" s="69">
        <f t="shared" si="1588"/>
        <v>0</v>
      </c>
      <c r="K1001" s="69">
        <f t="shared" si="1588"/>
        <v>0</v>
      </c>
      <c r="L1001" s="283">
        <f t="shared" si="1588"/>
        <v>0</v>
      </c>
      <c r="M1001" s="283">
        <f t="shared" si="1588"/>
        <v>0</v>
      </c>
      <c r="N1001" s="283">
        <f t="shared" si="1588"/>
        <v>0</v>
      </c>
      <c r="O1001" s="283">
        <f t="shared" si="1588"/>
        <v>0</v>
      </c>
      <c r="P1001" s="283">
        <f t="shared" si="1588"/>
        <v>0</v>
      </c>
      <c r="Q1001" s="117">
        <f t="shared" si="1528"/>
        <v>0</v>
      </c>
      <c r="R1001" s="117">
        <f t="shared" si="1529"/>
        <v>0</v>
      </c>
      <c r="S1001" s="283">
        <f t="shared" si="1588"/>
        <v>0</v>
      </c>
      <c r="T1001" s="283">
        <f t="shared" si="1588"/>
        <v>0</v>
      </c>
      <c r="U1001" s="283">
        <f t="shared" si="1588"/>
        <v>0</v>
      </c>
    </row>
    <row r="1002" spans="1:21" ht="14.25" hidden="1" customHeight="1">
      <c r="A1002" s="34"/>
      <c r="B1002" s="33" t="s">
        <v>174</v>
      </c>
      <c r="C1002" s="12">
        <v>56</v>
      </c>
      <c r="D1002" s="69">
        <f t="shared" si="1588"/>
        <v>0</v>
      </c>
      <c r="E1002" s="69">
        <f t="shared" si="1588"/>
        <v>0</v>
      </c>
      <c r="F1002" s="69">
        <f t="shared" si="1588"/>
        <v>0</v>
      </c>
      <c r="G1002" s="69">
        <f t="shared" si="1588"/>
        <v>0</v>
      </c>
      <c r="H1002" s="69">
        <f t="shared" si="1588"/>
        <v>0</v>
      </c>
      <c r="I1002" s="69">
        <f t="shared" si="1588"/>
        <v>0</v>
      </c>
      <c r="J1002" s="69">
        <f t="shared" si="1588"/>
        <v>0</v>
      </c>
      <c r="K1002" s="69">
        <f t="shared" si="1588"/>
        <v>0</v>
      </c>
      <c r="L1002" s="283">
        <f t="shared" si="1588"/>
        <v>0</v>
      </c>
      <c r="M1002" s="283">
        <f t="shared" si="1588"/>
        <v>0</v>
      </c>
      <c r="N1002" s="283">
        <f t="shared" si="1588"/>
        <v>0</v>
      </c>
      <c r="O1002" s="283">
        <f t="shared" si="1588"/>
        <v>0</v>
      </c>
      <c r="P1002" s="283">
        <f t="shared" si="1588"/>
        <v>0</v>
      </c>
      <c r="Q1002" s="117">
        <f t="shared" si="1528"/>
        <v>0</v>
      </c>
      <c r="R1002" s="117">
        <f t="shared" si="1529"/>
        <v>0</v>
      </c>
      <c r="S1002" s="283">
        <f t="shared" si="1588"/>
        <v>0</v>
      </c>
      <c r="T1002" s="283">
        <f t="shared" si="1588"/>
        <v>0</v>
      </c>
      <c r="U1002" s="283">
        <f t="shared" si="1588"/>
        <v>0</v>
      </c>
    </row>
    <row r="1003" spans="1:21" ht="24.75" hidden="1" customHeight="1">
      <c r="A1003" s="34"/>
      <c r="B1003" s="21" t="s">
        <v>210</v>
      </c>
      <c r="C1003" s="12" t="s">
        <v>307</v>
      </c>
      <c r="D1003" s="68"/>
      <c r="E1003" s="197"/>
      <c r="F1003" s="68"/>
      <c r="G1003" s="68"/>
      <c r="H1003" s="68"/>
      <c r="I1003" s="197"/>
      <c r="J1003" s="197"/>
      <c r="K1003" s="197"/>
      <c r="L1003" s="282"/>
      <c r="M1003" s="282"/>
      <c r="N1003" s="282"/>
      <c r="O1003" s="282"/>
      <c r="P1003" s="282"/>
      <c r="Q1003" s="117">
        <f t="shared" si="1528"/>
        <v>0</v>
      </c>
      <c r="R1003" s="117">
        <f t="shared" si="1529"/>
        <v>0</v>
      </c>
      <c r="S1003" s="282"/>
      <c r="T1003" s="282"/>
      <c r="U1003" s="282"/>
    </row>
    <row r="1004" spans="1:21" ht="24.75" hidden="1" customHeight="1">
      <c r="A1004" s="34" t="s">
        <v>378</v>
      </c>
      <c r="B1004" s="31" t="s">
        <v>414</v>
      </c>
      <c r="C1004" s="84" t="s">
        <v>377</v>
      </c>
      <c r="D1004" s="75"/>
      <c r="E1004" s="75">
        <f t="shared" ref="E1004:F1004" si="1589">E1005+E1008</f>
        <v>0</v>
      </c>
      <c r="F1004" s="75">
        <f t="shared" si="1589"/>
        <v>0</v>
      </c>
      <c r="G1004" s="75">
        <f t="shared" ref="G1004:U1004" si="1590">G1005+G1008</f>
        <v>0</v>
      </c>
      <c r="H1004" s="75">
        <f t="shared" si="1590"/>
        <v>0</v>
      </c>
      <c r="I1004" s="75">
        <f t="shared" si="1590"/>
        <v>0</v>
      </c>
      <c r="J1004" s="75">
        <f t="shared" si="1590"/>
        <v>0</v>
      </c>
      <c r="K1004" s="75">
        <f t="shared" ref="K1004:L1004" si="1591">K1005+K1008</f>
        <v>0</v>
      </c>
      <c r="L1004" s="284">
        <f t="shared" si="1591"/>
        <v>0</v>
      </c>
      <c r="M1004" s="284">
        <f t="shared" ref="M1004:P1004" si="1592">M1005+M1008</f>
        <v>0</v>
      </c>
      <c r="N1004" s="284">
        <f t="shared" si="1592"/>
        <v>0</v>
      </c>
      <c r="O1004" s="284">
        <f t="shared" si="1592"/>
        <v>0</v>
      </c>
      <c r="P1004" s="284">
        <f t="shared" si="1592"/>
        <v>0</v>
      </c>
      <c r="Q1004" s="117">
        <f t="shared" si="1528"/>
        <v>0</v>
      </c>
      <c r="R1004" s="117">
        <f t="shared" si="1529"/>
        <v>0</v>
      </c>
      <c r="S1004" s="284">
        <f t="shared" si="1590"/>
        <v>0</v>
      </c>
      <c r="T1004" s="284">
        <f t="shared" si="1590"/>
        <v>0</v>
      </c>
      <c r="U1004" s="284">
        <f t="shared" si="1590"/>
        <v>0</v>
      </c>
    </row>
    <row r="1005" spans="1:21" ht="24.75" hidden="1" customHeight="1">
      <c r="A1005" s="34"/>
      <c r="B1005" s="24" t="s">
        <v>153</v>
      </c>
      <c r="C1005" s="84"/>
      <c r="D1005" s="75"/>
      <c r="E1005" s="197"/>
      <c r="F1005" s="75"/>
      <c r="G1005" s="75"/>
      <c r="H1005" s="75"/>
      <c r="I1005" s="197"/>
      <c r="J1005" s="197"/>
      <c r="K1005" s="197"/>
      <c r="L1005" s="282"/>
      <c r="M1005" s="282"/>
      <c r="N1005" s="282"/>
      <c r="O1005" s="282"/>
      <c r="P1005" s="282"/>
      <c r="Q1005" s="117">
        <f t="shared" si="1528"/>
        <v>0</v>
      </c>
      <c r="R1005" s="117">
        <f t="shared" si="1529"/>
        <v>0</v>
      </c>
      <c r="S1005" s="282"/>
      <c r="T1005" s="282"/>
      <c r="U1005" s="282"/>
    </row>
    <row r="1006" spans="1:21" s="1" customFormat="1" ht="24.75" hidden="1" customHeight="1">
      <c r="A1006" s="34"/>
      <c r="B1006" s="33" t="s">
        <v>154</v>
      </c>
      <c r="C1006" s="84">
        <v>1</v>
      </c>
      <c r="D1006" s="68"/>
      <c r="E1006" s="198"/>
      <c r="F1006" s="68"/>
      <c r="G1006" s="68"/>
      <c r="H1006" s="68"/>
      <c r="I1006" s="198"/>
      <c r="J1006" s="198"/>
      <c r="K1006" s="198"/>
      <c r="L1006" s="301"/>
      <c r="M1006" s="301"/>
      <c r="N1006" s="301"/>
      <c r="O1006" s="301"/>
      <c r="P1006" s="301"/>
      <c r="Q1006" s="117">
        <f t="shared" si="1528"/>
        <v>0</v>
      </c>
      <c r="R1006" s="117">
        <f t="shared" si="1529"/>
        <v>0</v>
      </c>
      <c r="S1006" s="301"/>
      <c r="T1006" s="301"/>
      <c r="U1006" s="301"/>
    </row>
    <row r="1007" spans="1:21" s="1" customFormat="1" ht="24.75" hidden="1" customHeight="1">
      <c r="A1007" s="34"/>
      <c r="B1007" s="33" t="s">
        <v>156</v>
      </c>
      <c r="C1007" s="84" t="s">
        <v>379</v>
      </c>
      <c r="D1007" s="68"/>
      <c r="E1007" s="198"/>
      <c r="F1007" s="68"/>
      <c r="G1007" s="68"/>
      <c r="H1007" s="68"/>
      <c r="I1007" s="198"/>
      <c r="J1007" s="198"/>
      <c r="K1007" s="198"/>
      <c r="L1007" s="301"/>
      <c r="M1007" s="301"/>
      <c r="N1007" s="301"/>
      <c r="O1007" s="301"/>
      <c r="P1007" s="301"/>
      <c r="Q1007" s="117">
        <f t="shared" si="1528"/>
        <v>0</v>
      </c>
      <c r="R1007" s="117">
        <f t="shared" si="1529"/>
        <v>0</v>
      </c>
      <c r="S1007" s="301"/>
      <c r="T1007" s="301"/>
      <c r="U1007" s="301"/>
    </row>
    <row r="1008" spans="1:21" s="1" customFormat="1" ht="24.75" hidden="1" customHeight="1">
      <c r="A1008" s="34"/>
      <c r="B1008" s="26" t="s">
        <v>165</v>
      </c>
      <c r="C1008" s="84"/>
      <c r="D1008" s="68"/>
      <c r="E1008" s="68">
        <f t="shared" ref="E1008:U1008" si="1593">E1009</f>
        <v>0</v>
      </c>
      <c r="F1008" s="68">
        <f t="shared" si="1593"/>
        <v>0</v>
      </c>
      <c r="G1008" s="68">
        <f t="shared" si="1593"/>
        <v>0</v>
      </c>
      <c r="H1008" s="68">
        <f t="shared" si="1593"/>
        <v>0</v>
      </c>
      <c r="I1008" s="68">
        <f t="shared" si="1593"/>
        <v>0</v>
      </c>
      <c r="J1008" s="68">
        <f t="shared" si="1593"/>
        <v>0</v>
      </c>
      <c r="K1008" s="68">
        <f t="shared" si="1593"/>
        <v>0</v>
      </c>
      <c r="L1008" s="176">
        <f t="shared" si="1593"/>
        <v>0</v>
      </c>
      <c r="M1008" s="176">
        <f t="shared" si="1593"/>
        <v>0</v>
      </c>
      <c r="N1008" s="176">
        <f t="shared" si="1593"/>
        <v>0</v>
      </c>
      <c r="O1008" s="176">
        <f t="shared" si="1593"/>
        <v>0</v>
      </c>
      <c r="P1008" s="176">
        <f t="shared" si="1593"/>
        <v>0</v>
      </c>
      <c r="Q1008" s="117">
        <f t="shared" si="1528"/>
        <v>0</v>
      </c>
      <c r="R1008" s="117">
        <f t="shared" si="1529"/>
        <v>0</v>
      </c>
      <c r="S1008" s="176">
        <f t="shared" si="1593"/>
        <v>0</v>
      </c>
      <c r="T1008" s="176">
        <f t="shared" si="1593"/>
        <v>0</v>
      </c>
      <c r="U1008" s="176">
        <f t="shared" si="1593"/>
        <v>0</v>
      </c>
    </row>
    <row r="1009" spans="1:21" s="1" customFormat="1" ht="24.75" hidden="1" customHeight="1">
      <c r="A1009" s="34"/>
      <c r="B1009" s="33" t="s">
        <v>415</v>
      </c>
      <c r="C1009" s="84" t="s">
        <v>416</v>
      </c>
      <c r="D1009" s="68"/>
      <c r="E1009" s="198"/>
      <c r="F1009" s="68"/>
      <c r="G1009" s="68"/>
      <c r="H1009" s="68"/>
      <c r="I1009" s="198"/>
      <c r="J1009" s="198"/>
      <c r="K1009" s="198"/>
      <c r="L1009" s="301"/>
      <c r="M1009" s="301"/>
      <c r="N1009" s="301"/>
      <c r="O1009" s="301"/>
      <c r="P1009" s="301"/>
      <c r="Q1009" s="117">
        <f t="shared" si="1528"/>
        <v>0</v>
      </c>
      <c r="R1009" s="117">
        <f t="shared" si="1529"/>
        <v>0</v>
      </c>
      <c r="S1009" s="301"/>
      <c r="T1009" s="301"/>
      <c r="U1009" s="301"/>
    </row>
    <row r="1010" spans="1:21" s="1" customFormat="1" ht="0.75" hidden="1" customHeight="1">
      <c r="A1010" s="34"/>
      <c r="B1010" s="31" t="s">
        <v>557</v>
      </c>
      <c r="C1010" s="84" t="s">
        <v>377</v>
      </c>
      <c r="D1010" s="75">
        <f t="shared" ref="D1010:U1012" si="1594">D1011</f>
        <v>0</v>
      </c>
      <c r="E1010" s="198"/>
      <c r="F1010" s="75">
        <f t="shared" si="1594"/>
        <v>0</v>
      </c>
      <c r="G1010" s="75">
        <f t="shared" si="1594"/>
        <v>0</v>
      </c>
      <c r="H1010" s="75">
        <f t="shared" si="1594"/>
        <v>0</v>
      </c>
      <c r="I1010" s="198"/>
      <c r="J1010" s="198"/>
      <c r="K1010" s="198"/>
      <c r="L1010" s="301"/>
      <c r="M1010" s="301"/>
      <c r="N1010" s="301"/>
      <c r="O1010" s="301"/>
      <c r="P1010" s="301"/>
      <c r="Q1010" s="117">
        <f t="shared" si="1528"/>
        <v>0</v>
      </c>
      <c r="R1010" s="117">
        <f t="shared" si="1529"/>
        <v>0</v>
      </c>
      <c r="S1010" s="301"/>
      <c r="T1010" s="301"/>
      <c r="U1010" s="301"/>
    </row>
    <row r="1011" spans="1:21" s="1" customFormat="1" ht="24.75" hidden="1" customHeight="1">
      <c r="A1011" s="34"/>
      <c r="B1011" s="33" t="s">
        <v>558</v>
      </c>
      <c r="C1011" s="84"/>
      <c r="D1011" s="68">
        <f t="shared" si="1594"/>
        <v>0</v>
      </c>
      <c r="E1011" s="68">
        <f t="shared" si="1594"/>
        <v>0</v>
      </c>
      <c r="F1011" s="68">
        <f t="shared" si="1594"/>
        <v>0</v>
      </c>
      <c r="G1011" s="68">
        <f t="shared" si="1594"/>
        <v>0</v>
      </c>
      <c r="H1011" s="68">
        <f t="shared" si="1594"/>
        <v>0</v>
      </c>
      <c r="I1011" s="68">
        <f t="shared" si="1594"/>
        <v>0</v>
      </c>
      <c r="J1011" s="68">
        <f t="shared" si="1594"/>
        <v>0</v>
      </c>
      <c r="K1011" s="68">
        <f t="shared" si="1594"/>
        <v>0</v>
      </c>
      <c r="L1011" s="176">
        <f t="shared" si="1594"/>
        <v>0</v>
      </c>
      <c r="M1011" s="176">
        <f t="shared" si="1594"/>
        <v>0</v>
      </c>
      <c r="N1011" s="176">
        <f t="shared" si="1594"/>
        <v>0</v>
      </c>
      <c r="O1011" s="176">
        <f t="shared" si="1594"/>
        <v>0</v>
      </c>
      <c r="P1011" s="176">
        <f t="shared" si="1594"/>
        <v>0</v>
      </c>
      <c r="Q1011" s="117">
        <f t="shared" si="1528"/>
        <v>0</v>
      </c>
      <c r="R1011" s="117">
        <f t="shared" si="1529"/>
        <v>0</v>
      </c>
      <c r="S1011" s="176">
        <f t="shared" si="1594"/>
        <v>0</v>
      </c>
      <c r="T1011" s="176">
        <f t="shared" si="1594"/>
        <v>0</v>
      </c>
      <c r="U1011" s="176">
        <f t="shared" si="1594"/>
        <v>0</v>
      </c>
    </row>
    <row r="1012" spans="1:21" s="1" customFormat="1" ht="24.75" hidden="1" customHeight="1">
      <c r="A1012" s="34"/>
      <c r="B1012" s="33" t="s">
        <v>559</v>
      </c>
      <c r="C1012" s="84" t="s">
        <v>560</v>
      </c>
      <c r="D1012" s="68">
        <f t="shared" si="1594"/>
        <v>0</v>
      </c>
      <c r="E1012" s="68">
        <f t="shared" si="1594"/>
        <v>0</v>
      </c>
      <c r="F1012" s="68">
        <f t="shared" si="1594"/>
        <v>0</v>
      </c>
      <c r="G1012" s="68">
        <f t="shared" si="1594"/>
        <v>0</v>
      </c>
      <c r="H1012" s="68">
        <f t="shared" si="1594"/>
        <v>0</v>
      </c>
      <c r="I1012" s="68">
        <f t="shared" si="1594"/>
        <v>0</v>
      </c>
      <c r="J1012" s="68">
        <f t="shared" si="1594"/>
        <v>0</v>
      </c>
      <c r="K1012" s="68">
        <f t="shared" si="1594"/>
        <v>0</v>
      </c>
      <c r="L1012" s="176">
        <f t="shared" si="1594"/>
        <v>0</v>
      </c>
      <c r="M1012" s="176">
        <f t="shared" si="1594"/>
        <v>0</v>
      </c>
      <c r="N1012" s="176">
        <f t="shared" si="1594"/>
        <v>0</v>
      </c>
      <c r="O1012" s="176">
        <f t="shared" si="1594"/>
        <v>0</v>
      </c>
      <c r="P1012" s="176">
        <f t="shared" si="1594"/>
        <v>0</v>
      </c>
      <c r="Q1012" s="117">
        <f t="shared" si="1528"/>
        <v>0</v>
      </c>
      <c r="R1012" s="117">
        <f t="shared" si="1529"/>
        <v>0</v>
      </c>
      <c r="S1012" s="176">
        <f t="shared" si="1594"/>
        <v>0</v>
      </c>
      <c r="T1012" s="176">
        <f t="shared" si="1594"/>
        <v>0</v>
      </c>
      <c r="U1012" s="176">
        <f t="shared" si="1594"/>
        <v>0</v>
      </c>
    </row>
    <row r="1013" spans="1:21" s="1" customFormat="1" ht="24.75" hidden="1" customHeight="1">
      <c r="A1013" s="34"/>
      <c r="B1013" s="33" t="s">
        <v>561</v>
      </c>
      <c r="C1013" s="84" t="s">
        <v>562</v>
      </c>
      <c r="D1013" s="68"/>
      <c r="E1013" s="198"/>
      <c r="F1013" s="68"/>
      <c r="G1013" s="68"/>
      <c r="H1013" s="68"/>
      <c r="I1013" s="198"/>
      <c r="J1013" s="198"/>
      <c r="K1013" s="198"/>
      <c r="L1013" s="301"/>
      <c r="M1013" s="301"/>
      <c r="N1013" s="301"/>
      <c r="O1013" s="301"/>
      <c r="P1013" s="301"/>
      <c r="Q1013" s="117">
        <f t="shared" si="1528"/>
        <v>0</v>
      </c>
      <c r="R1013" s="117">
        <f t="shared" si="1529"/>
        <v>0</v>
      </c>
      <c r="S1013" s="301"/>
      <c r="T1013" s="301"/>
      <c r="U1013" s="301"/>
    </row>
    <row r="1014" spans="1:21" ht="18" customHeight="1">
      <c r="A1014" s="41">
        <v>2</v>
      </c>
      <c r="B1014" s="186" t="s">
        <v>604</v>
      </c>
      <c r="C1014" s="184">
        <v>74.02</v>
      </c>
      <c r="D1014" s="185">
        <f t="shared" ref="D1014:U1014" si="1595">D1020+D1024+D1030</f>
        <v>2</v>
      </c>
      <c r="E1014" s="185">
        <f t="shared" ref="E1014:F1014" si="1596">E1020+E1024+E1030</f>
        <v>0</v>
      </c>
      <c r="F1014" s="185">
        <f t="shared" si="1596"/>
        <v>50</v>
      </c>
      <c r="G1014" s="185">
        <f t="shared" si="1595"/>
        <v>33</v>
      </c>
      <c r="H1014" s="185">
        <f t="shared" si="1595"/>
        <v>50</v>
      </c>
      <c r="I1014" s="185">
        <f t="shared" si="1595"/>
        <v>39</v>
      </c>
      <c r="J1014" s="185">
        <f t="shared" si="1595"/>
        <v>39</v>
      </c>
      <c r="K1014" s="185">
        <f t="shared" ref="K1014:L1014" si="1597">K1020+K1024+K1030</f>
        <v>39</v>
      </c>
      <c r="L1014" s="299">
        <f t="shared" si="1597"/>
        <v>39</v>
      </c>
      <c r="M1014" s="299">
        <f t="shared" ref="M1014:P1014" si="1598">M1020+M1024+M1030</f>
        <v>0</v>
      </c>
      <c r="N1014" s="299">
        <f t="shared" si="1598"/>
        <v>39</v>
      </c>
      <c r="O1014" s="299">
        <f t="shared" si="1598"/>
        <v>0</v>
      </c>
      <c r="P1014" s="299">
        <f t="shared" si="1598"/>
        <v>0</v>
      </c>
      <c r="Q1014" s="117">
        <f t="shared" si="1528"/>
        <v>39</v>
      </c>
      <c r="R1014" s="117">
        <f t="shared" si="1529"/>
        <v>0</v>
      </c>
      <c r="S1014" s="299">
        <f t="shared" si="1595"/>
        <v>39</v>
      </c>
      <c r="T1014" s="299">
        <f t="shared" si="1595"/>
        <v>39</v>
      </c>
      <c r="U1014" s="299">
        <f t="shared" si="1595"/>
        <v>39</v>
      </c>
    </row>
    <row r="1015" spans="1:21" ht="20.25" customHeight="1">
      <c r="A1015" s="34"/>
      <c r="B1015" s="24" t="s">
        <v>153</v>
      </c>
      <c r="C1015" s="84"/>
      <c r="D1015" s="73">
        <f t="shared" ref="D1015:U1017" si="1599">D1031</f>
        <v>2</v>
      </c>
      <c r="E1015" s="73">
        <f t="shared" ref="E1015:F1015" si="1600">E1031</f>
        <v>0</v>
      </c>
      <c r="F1015" s="73">
        <f t="shared" si="1600"/>
        <v>50</v>
      </c>
      <c r="G1015" s="73">
        <f t="shared" si="1599"/>
        <v>33</v>
      </c>
      <c r="H1015" s="73">
        <f t="shared" si="1599"/>
        <v>50</v>
      </c>
      <c r="I1015" s="73">
        <f t="shared" si="1599"/>
        <v>39</v>
      </c>
      <c r="J1015" s="73">
        <f t="shared" si="1599"/>
        <v>39</v>
      </c>
      <c r="K1015" s="73">
        <f t="shared" ref="K1015:L1015" si="1601">K1031</f>
        <v>39</v>
      </c>
      <c r="L1015" s="292">
        <f t="shared" si="1601"/>
        <v>39</v>
      </c>
      <c r="M1015" s="292">
        <f t="shared" ref="M1015:P1015" si="1602">M1031</f>
        <v>0</v>
      </c>
      <c r="N1015" s="292">
        <f t="shared" si="1602"/>
        <v>39</v>
      </c>
      <c r="O1015" s="292">
        <f t="shared" si="1602"/>
        <v>0</v>
      </c>
      <c r="P1015" s="292">
        <f t="shared" si="1602"/>
        <v>0</v>
      </c>
      <c r="Q1015" s="117">
        <f t="shared" si="1528"/>
        <v>39</v>
      </c>
      <c r="R1015" s="117">
        <f t="shared" si="1529"/>
        <v>0</v>
      </c>
      <c r="S1015" s="292">
        <f t="shared" si="1599"/>
        <v>39</v>
      </c>
      <c r="T1015" s="292">
        <f t="shared" si="1599"/>
        <v>39</v>
      </c>
      <c r="U1015" s="292">
        <f t="shared" si="1599"/>
        <v>39</v>
      </c>
    </row>
    <row r="1016" spans="1:21" ht="21" customHeight="1">
      <c r="A1016" s="34"/>
      <c r="B1016" s="33" t="s">
        <v>154</v>
      </c>
      <c r="C1016" s="84">
        <v>1</v>
      </c>
      <c r="D1016" s="73">
        <f t="shared" si="1599"/>
        <v>2</v>
      </c>
      <c r="E1016" s="73">
        <f t="shared" ref="E1016:F1016" si="1603">E1032</f>
        <v>0</v>
      </c>
      <c r="F1016" s="73">
        <f t="shared" si="1603"/>
        <v>50</v>
      </c>
      <c r="G1016" s="73">
        <f t="shared" si="1599"/>
        <v>33</v>
      </c>
      <c r="H1016" s="73">
        <f t="shared" si="1599"/>
        <v>50</v>
      </c>
      <c r="I1016" s="73">
        <f t="shared" si="1599"/>
        <v>39</v>
      </c>
      <c r="J1016" s="73">
        <f t="shared" si="1599"/>
        <v>39</v>
      </c>
      <c r="K1016" s="73">
        <f t="shared" ref="K1016:L1016" si="1604">K1032</f>
        <v>39</v>
      </c>
      <c r="L1016" s="292">
        <f t="shared" si="1604"/>
        <v>39</v>
      </c>
      <c r="M1016" s="292">
        <f t="shared" ref="M1016:P1016" si="1605">M1032</f>
        <v>0</v>
      </c>
      <c r="N1016" s="292">
        <f t="shared" si="1605"/>
        <v>39</v>
      </c>
      <c r="O1016" s="292">
        <f t="shared" si="1605"/>
        <v>0</v>
      </c>
      <c r="P1016" s="292">
        <f t="shared" si="1605"/>
        <v>0</v>
      </c>
      <c r="Q1016" s="117">
        <f t="shared" si="1528"/>
        <v>39</v>
      </c>
      <c r="R1016" s="117">
        <f t="shared" si="1529"/>
        <v>0</v>
      </c>
      <c r="S1016" s="292">
        <f t="shared" si="1599"/>
        <v>39</v>
      </c>
      <c r="T1016" s="292">
        <f t="shared" si="1599"/>
        <v>39</v>
      </c>
      <c r="U1016" s="292">
        <f t="shared" si="1599"/>
        <v>39</v>
      </c>
    </row>
    <row r="1017" spans="1:21" ht="20.25" customHeight="1">
      <c r="A1017" s="34"/>
      <c r="B1017" s="33" t="s">
        <v>380</v>
      </c>
      <c r="C1017" s="84">
        <v>20</v>
      </c>
      <c r="D1017" s="73">
        <f t="shared" si="1599"/>
        <v>2</v>
      </c>
      <c r="E1017" s="73">
        <f t="shared" ref="E1017:F1017" si="1606">E1033</f>
        <v>0</v>
      </c>
      <c r="F1017" s="73">
        <f t="shared" si="1606"/>
        <v>50</v>
      </c>
      <c r="G1017" s="73">
        <f t="shared" si="1599"/>
        <v>33</v>
      </c>
      <c r="H1017" s="73">
        <f t="shared" si="1599"/>
        <v>50</v>
      </c>
      <c r="I1017" s="73">
        <f t="shared" si="1599"/>
        <v>39</v>
      </c>
      <c r="J1017" s="73">
        <f t="shared" si="1599"/>
        <v>39</v>
      </c>
      <c r="K1017" s="73">
        <f t="shared" ref="K1017:L1017" si="1607">K1033</f>
        <v>39</v>
      </c>
      <c r="L1017" s="292">
        <f t="shared" si="1607"/>
        <v>39</v>
      </c>
      <c r="M1017" s="292">
        <f t="shared" ref="M1017:P1017" si="1608">M1033</f>
        <v>0</v>
      </c>
      <c r="N1017" s="292">
        <f t="shared" si="1608"/>
        <v>39</v>
      </c>
      <c r="O1017" s="292">
        <f t="shared" si="1608"/>
        <v>0</v>
      </c>
      <c r="P1017" s="292">
        <f t="shared" si="1608"/>
        <v>0</v>
      </c>
      <c r="Q1017" s="117">
        <f t="shared" si="1528"/>
        <v>39</v>
      </c>
      <c r="R1017" s="117">
        <f t="shared" si="1529"/>
        <v>0</v>
      </c>
      <c r="S1017" s="292">
        <f t="shared" si="1599"/>
        <v>39</v>
      </c>
      <c r="T1017" s="292">
        <f t="shared" si="1599"/>
        <v>39</v>
      </c>
      <c r="U1017" s="292">
        <f t="shared" si="1599"/>
        <v>39</v>
      </c>
    </row>
    <row r="1018" spans="1:21" ht="24.75" hidden="1" customHeight="1">
      <c r="A1018" s="34"/>
      <c r="B1018" s="26" t="s">
        <v>165</v>
      </c>
      <c r="C1018" s="84"/>
      <c r="D1018" s="73"/>
      <c r="E1018" s="197"/>
      <c r="F1018" s="73"/>
      <c r="G1018" s="73"/>
      <c r="H1018" s="73"/>
      <c r="I1018" s="197"/>
      <c r="J1018" s="197"/>
      <c r="K1018" s="197"/>
      <c r="L1018" s="282"/>
      <c r="M1018" s="282"/>
      <c r="N1018" s="282"/>
      <c r="O1018" s="282"/>
      <c r="P1018" s="282"/>
      <c r="Q1018" s="117">
        <f t="shared" si="1528"/>
        <v>0</v>
      </c>
      <c r="R1018" s="117">
        <f t="shared" si="1529"/>
        <v>0</v>
      </c>
      <c r="S1018" s="282"/>
      <c r="T1018" s="282"/>
      <c r="U1018" s="282"/>
    </row>
    <row r="1019" spans="1:21" ht="24.75" hidden="1" customHeight="1">
      <c r="A1019" s="34"/>
      <c r="B1019" s="33" t="s">
        <v>381</v>
      </c>
      <c r="C1019" s="84">
        <v>56</v>
      </c>
      <c r="D1019" s="69"/>
      <c r="E1019" s="197"/>
      <c r="F1019" s="69"/>
      <c r="G1019" s="69"/>
      <c r="H1019" s="69"/>
      <c r="I1019" s="197"/>
      <c r="J1019" s="197"/>
      <c r="K1019" s="197"/>
      <c r="L1019" s="282"/>
      <c r="M1019" s="282"/>
      <c r="N1019" s="282"/>
      <c r="O1019" s="282"/>
      <c r="P1019" s="282"/>
      <c r="Q1019" s="117">
        <f t="shared" si="1528"/>
        <v>0</v>
      </c>
      <c r="R1019" s="117">
        <f t="shared" si="1529"/>
        <v>0</v>
      </c>
      <c r="S1019" s="282"/>
      <c r="T1019" s="282"/>
      <c r="U1019" s="282"/>
    </row>
    <row r="1020" spans="1:21" ht="18.75" hidden="1" customHeight="1">
      <c r="A1020" s="34" t="s">
        <v>283</v>
      </c>
      <c r="B1020" s="26" t="s">
        <v>382</v>
      </c>
      <c r="C1020" s="84" t="s">
        <v>383</v>
      </c>
      <c r="D1020" s="73"/>
      <c r="E1020" s="197"/>
      <c r="F1020" s="73"/>
      <c r="G1020" s="73"/>
      <c r="H1020" s="73"/>
      <c r="I1020" s="197"/>
      <c r="J1020" s="197"/>
      <c r="K1020" s="197"/>
      <c r="L1020" s="282"/>
      <c r="M1020" s="282"/>
      <c r="N1020" s="282"/>
      <c r="O1020" s="282"/>
      <c r="P1020" s="282"/>
      <c r="Q1020" s="117">
        <f t="shared" si="1528"/>
        <v>0</v>
      </c>
      <c r="R1020" s="117">
        <f t="shared" si="1529"/>
        <v>0</v>
      </c>
      <c r="S1020" s="282"/>
      <c r="T1020" s="282"/>
      <c r="U1020" s="282"/>
    </row>
    <row r="1021" spans="1:21" ht="24.75" hidden="1" customHeight="1">
      <c r="A1021" s="34"/>
      <c r="B1021" s="26" t="s">
        <v>165</v>
      </c>
      <c r="C1021" s="84"/>
      <c r="D1021" s="73"/>
      <c r="E1021" s="197"/>
      <c r="F1021" s="73"/>
      <c r="G1021" s="73"/>
      <c r="H1021" s="73"/>
      <c r="I1021" s="197"/>
      <c r="J1021" s="197"/>
      <c r="K1021" s="197"/>
      <c r="L1021" s="282"/>
      <c r="M1021" s="282"/>
      <c r="N1021" s="282"/>
      <c r="O1021" s="282"/>
      <c r="P1021" s="282"/>
      <c r="Q1021" s="117">
        <f t="shared" si="1528"/>
        <v>0</v>
      </c>
      <c r="R1021" s="117">
        <f t="shared" si="1529"/>
        <v>0</v>
      </c>
      <c r="S1021" s="282"/>
      <c r="T1021" s="282"/>
      <c r="U1021" s="282"/>
    </row>
    <row r="1022" spans="1:21" ht="24" hidden="1" customHeight="1">
      <c r="A1022" s="34"/>
      <c r="B1022" s="33" t="s">
        <v>381</v>
      </c>
      <c r="C1022" s="12">
        <v>56.01</v>
      </c>
      <c r="D1022" s="69"/>
      <c r="E1022" s="197"/>
      <c r="F1022" s="69"/>
      <c r="G1022" s="69"/>
      <c r="H1022" s="69"/>
      <c r="I1022" s="197"/>
      <c r="J1022" s="197"/>
      <c r="K1022" s="197"/>
      <c r="L1022" s="282"/>
      <c r="M1022" s="282"/>
      <c r="N1022" s="282"/>
      <c r="O1022" s="282"/>
      <c r="P1022" s="282"/>
      <c r="Q1022" s="117">
        <f t="shared" si="1528"/>
        <v>0</v>
      </c>
      <c r="R1022" s="117">
        <f t="shared" si="1529"/>
        <v>0</v>
      </c>
      <c r="S1022" s="282"/>
      <c r="T1022" s="282"/>
      <c r="U1022" s="282"/>
    </row>
    <row r="1023" spans="1:21" ht="24.75" hidden="1" customHeight="1">
      <c r="A1023" s="34"/>
      <c r="B1023" s="33" t="s">
        <v>210</v>
      </c>
      <c r="C1023" s="12" t="s">
        <v>209</v>
      </c>
      <c r="D1023" s="68"/>
      <c r="E1023" s="197"/>
      <c r="F1023" s="68"/>
      <c r="G1023" s="68"/>
      <c r="H1023" s="68"/>
      <c r="I1023" s="197"/>
      <c r="J1023" s="197"/>
      <c r="K1023" s="197"/>
      <c r="L1023" s="282"/>
      <c r="M1023" s="282"/>
      <c r="N1023" s="282"/>
      <c r="O1023" s="282"/>
      <c r="P1023" s="282"/>
      <c r="Q1023" s="117">
        <f t="shared" si="1528"/>
        <v>0</v>
      </c>
      <c r="R1023" s="117">
        <f t="shared" si="1529"/>
        <v>0</v>
      </c>
      <c r="S1023" s="282"/>
      <c r="T1023" s="282"/>
      <c r="U1023" s="282"/>
    </row>
    <row r="1024" spans="1:21" ht="24.75" hidden="1" customHeight="1">
      <c r="A1024" s="34" t="s">
        <v>290</v>
      </c>
      <c r="B1024" s="31" t="s">
        <v>384</v>
      </c>
      <c r="C1024" s="84" t="s">
        <v>383</v>
      </c>
      <c r="D1024" s="73"/>
      <c r="E1024" s="197"/>
      <c r="F1024" s="73"/>
      <c r="G1024" s="73"/>
      <c r="H1024" s="73"/>
      <c r="I1024" s="197"/>
      <c r="J1024" s="197"/>
      <c r="K1024" s="197"/>
      <c r="L1024" s="282"/>
      <c r="M1024" s="282"/>
      <c r="N1024" s="282"/>
      <c r="O1024" s="282"/>
      <c r="P1024" s="282"/>
      <c r="Q1024" s="117">
        <f t="shared" si="1528"/>
        <v>0</v>
      </c>
      <c r="R1024" s="117">
        <f t="shared" si="1529"/>
        <v>0</v>
      </c>
      <c r="S1024" s="282"/>
      <c r="T1024" s="282"/>
      <c r="U1024" s="282"/>
    </row>
    <row r="1025" spans="1:21" ht="24.75" hidden="1" customHeight="1">
      <c r="A1025" s="34"/>
      <c r="B1025" s="26" t="s">
        <v>165</v>
      </c>
      <c r="C1025" s="12">
        <v>0</v>
      </c>
      <c r="D1025" s="69"/>
      <c r="E1025" s="197"/>
      <c r="F1025" s="69"/>
      <c r="G1025" s="69"/>
      <c r="H1025" s="69"/>
      <c r="I1025" s="197"/>
      <c r="J1025" s="197"/>
      <c r="K1025" s="197"/>
      <c r="L1025" s="282"/>
      <c r="M1025" s="282"/>
      <c r="N1025" s="282"/>
      <c r="O1025" s="282"/>
      <c r="P1025" s="282"/>
      <c r="Q1025" s="117">
        <f t="shared" si="1528"/>
        <v>0</v>
      </c>
      <c r="R1025" s="117">
        <f t="shared" si="1529"/>
        <v>0</v>
      </c>
      <c r="S1025" s="282"/>
      <c r="T1025" s="282"/>
      <c r="U1025" s="282"/>
    </row>
    <row r="1026" spans="1:21" ht="24.75" hidden="1" customHeight="1">
      <c r="A1026" s="34"/>
      <c r="B1026" s="33" t="s">
        <v>381</v>
      </c>
      <c r="C1026" s="12">
        <v>56.01</v>
      </c>
      <c r="D1026" s="69"/>
      <c r="E1026" s="197"/>
      <c r="F1026" s="69"/>
      <c r="G1026" s="69"/>
      <c r="H1026" s="69"/>
      <c r="I1026" s="197"/>
      <c r="J1026" s="197"/>
      <c r="K1026" s="197"/>
      <c r="L1026" s="282"/>
      <c r="M1026" s="282"/>
      <c r="N1026" s="282"/>
      <c r="O1026" s="282"/>
      <c r="P1026" s="282"/>
      <c r="Q1026" s="117">
        <f t="shared" si="1528"/>
        <v>0</v>
      </c>
      <c r="R1026" s="117">
        <f t="shared" si="1529"/>
        <v>0</v>
      </c>
      <c r="S1026" s="282"/>
      <c r="T1026" s="282"/>
      <c r="U1026" s="282"/>
    </row>
    <row r="1027" spans="1:21" ht="24.75" hidden="1" customHeight="1">
      <c r="A1027" s="34"/>
      <c r="B1027" s="33" t="s">
        <v>313</v>
      </c>
      <c r="C1027" s="12" t="s">
        <v>206</v>
      </c>
      <c r="D1027" s="68"/>
      <c r="E1027" s="197"/>
      <c r="F1027" s="68"/>
      <c r="G1027" s="68"/>
      <c r="H1027" s="68"/>
      <c r="I1027" s="197"/>
      <c r="J1027" s="197"/>
      <c r="K1027" s="197"/>
      <c r="L1027" s="282"/>
      <c r="M1027" s="282"/>
      <c r="N1027" s="282"/>
      <c r="O1027" s="282"/>
      <c r="P1027" s="282"/>
      <c r="Q1027" s="117">
        <f t="shared" si="1528"/>
        <v>0</v>
      </c>
      <c r="R1027" s="117">
        <f t="shared" si="1529"/>
        <v>0</v>
      </c>
      <c r="S1027" s="282"/>
      <c r="T1027" s="282"/>
      <c r="U1027" s="282"/>
    </row>
    <row r="1028" spans="1:21" ht="24.75" hidden="1" customHeight="1">
      <c r="A1028" s="34"/>
      <c r="B1028" s="33" t="s">
        <v>385</v>
      </c>
      <c r="C1028" s="12" t="s">
        <v>208</v>
      </c>
      <c r="D1028" s="68"/>
      <c r="E1028" s="197"/>
      <c r="F1028" s="68"/>
      <c r="G1028" s="68"/>
      <c r="H1028" s="68"/>
      <c r="I1028" s="197"/>
      <c r="J1028" s="197"/>
      <c r="K1028" s="197"/>
      <c r="L1028" s="282"/>
      <c r="M1028" s="282"/>
      <c r="N1028" s="282"/>
      <c r="O1028" s="282"/>
      <c r="P1028" s="282"/>
      <c r="Q1028" s="117">
        <f t="shared" si="1528"/>
        <v>0</v>
      </c>
      <c r="R1028" s="117">
        <f t="shared" si="1529"/>
        <v>0</v>
      </c>
      <c r="S1028" s="282"/>
      <c r="T1028" s="282"/>
      <c r="U1028" s="282"/>
    </row>
    <row r="1029" spans="1:21" ht="24.75" hidden="1" customHeight="1">
      <c r="A1029" s="34"/>
      <c r="B1029" s="33" t="s">
        <v>386</v>
      </c>
      <c r="C1029" s="12" t="s">
        <v>209</v>
      </c>
      <c r="D1029" s="123"/>
      <c r="E1029" s="197"/>
      <c r="F1029" s="123"/>
      <c r="G1029" s="123"/>
      <c r="H1029" s="123"/>
      <c r="I1029" s="197"/>
      <c r="J1029" s="197"/>
      <c r="K1029" s="197"/>
      <c r="L1029" s="282"/>
      <c r="M1029" s="282"/>
      <c r="N1029" s="282"/>
      <c r="O1029" s="282"/>
      <c r="P1029" s="282"/>
      <c r="Q1029" s="117">
        <f t="shared" si="1528"/>
        <v>0</v>
      </c>
      <c r="R1029" s="117">
        <f t="shared" si="1529"/>
        <v>0</v>
      </c>
      <c r="S1029" s="282"/>
      <c r="T1029" s="282"/>
      <c r="U1029" s="282"/>
    </row>
    <row r="1030" spans="1:21" ht="27" customHeight="1">
      <c r="A1030" s="34"/>
      <c r="B1030" s="31" t="s">
        <v>535</v>
      </c>
      <c r="C1030" s="12"/>
      <c r="D1030" s="68">
        <f t="shared" ref="D1030:U1032" si="1609">D1031</f>
        <v>2</v>
      </c>
      <c r="E1030" s="68">
        <f t="shared" si="1609"/>
        <v>0</v>
      </c>
      <c r="F1030" s="68">
        <f t="shared" si="1609"/>
        <v>50</v>
      </c>
      <c r="G1030" s="68">
        <f t="shared" si="1609"/>
        <v>33</v>
      </c>
      <c r="H1030" s="68">
        <f t="shared" si="1609"/>
        <v>50</v>
      </c>
      <c r="I1030" s="68">
        <f t="shared" si="1609"/>
        <v>39</v>
      </c>
      <c r="J1030" s="68">
        <f t="shared" si="1609"/>
        <v>39</v>
      </c>
      <c r="K1030" s="68">
        <f t="shared" si="1609"/>
        <v>39</v>
      </c>
      <c r="L1030" s="176">
        <f t="shared" si="1609"/>
        <v>39</v>
      </c>
      <c r="M1030" s="176">
        <f t="shared" si="1609"/>
        <v>0</v>
      </c>
      <c r="N1030" s="176">
        <f t="shared" si="1609"/>
        <v>39</v>
      </c>
      <c r="O1030" s="176">
        <f t="shared" si="1609"/>
        <v>0</v>
      </c>
      <c r="P1030" s="176">
        <f t="shared" si="1609"/>
        <v>0</v>
      </c>
      <c r="Q1030" s="117">
        <f t="shared" si="1528"/>
        <v>39</v>
      </c>
      <c r="R1030" s="117">
        <f t="shared" si="1529"/>
        <v>0</v>
      </c>
      <c r="S1030" s="176">
        <f t="shared" si="1609"/>
        <v>39</v>
      </c>
      <c r="T1030" s="176">
        <f t="shared" si="1609"/>
        <v>39</v>
      </c>
      <c r="U1030" s="176">
        <f t="shared" si="1609"/>
        <v>39</v>
      </c>
    </row>
    <row r="1031" spans="1:21" ht="18.75" customHeight="1">
      <c r="A1031" s="34"/>
      <c r="B1031" s="24" t="s">
        <v>153</v>
      </c>
      <c r="C1031" s="12"/>
      <c r="D1031" s="68">
        <f t="shared" si="1609"/>
        <v>2</v>
      </c>
      <c r="E1031" s="68">
        <f t="shared" si="1609"/>
        <v>0</v>
      </c>
      <c r="F1031" s="68">
        <f t="shared" si="1609"/>
        <v>50</v>
      </c>
      <c r="G1031" s="68">
        <f t="shared" si="1609"/>
        <v>33</v>
      </c>
      <c r="H1031" s="68">
        <f t="shared" si="1609"/>
        <v>50</v>
      </c>
      <c r="I1031" s="68">
        <f t="shared" si="1609"/>
        <v>39</v>
      </c>
      <c r="J1031" s="68">
        <f t="shared" si="1609"/>
        <v>39</v>
      </c>
      <c r="K1031" s="68">
        <f t="shared" si="1609"/>
        <v>39</v>
      </c>
      <c r="L1031" s="176">
        <f t="shared" si="1609"/>
        <v>39</v>
      </c>
      <c r="M1031" s="176">
        <f t="shared" si="1609"/>
        <v>0</v>
      </c>
      <c r="N1031" s="176">
        <f t="shared" si="1609"/>
        <v>39</v>
      </c>
      <c r="O1031" s="176">
        <f t="shared" si="1609"/>
        <v>0</v>
      </c>
      <c r="P1031" s="176">
        <f t="shared" si="1609"/>
        <v>0</v>
      </c>
      <c r="Q1031" s="117">
        <f t="shared" si="1528"/>
        <v>39</v>
      </c>
      <c r="R1031" s="117">
        <f t="shared" si="1529"/>
        <v>0</v>
      </c>
      <c r="S1031" s="176">
        <f t="shared" si="1609"/>
        <v>39</v>
      </c>
      <c r="T1031" s="176">
        <f t="shared" si="1609"/>
        <v>39</v>
      </c>
      <c r="U1031" s="176">
        <f t="shared" si="1609"/>
        <v>39</v>
      </c>
    </row>
    <row r="1032" spans="1:21" ht="17.25" customHeight="1">
      <c r="A1032" s="34"/>
      <c r="B1032" s="33" t="s">
        <v>154</v>
      </c>
      <c r="C1032" s="12"/>
      <c r="D1032" s="68">
        <f t="shared" si="1609"/>
        <v>2</v>
      </c>
      <c r="E1032" s="68">
        <f t="shared" si="1609"/>
        <v>0</v>
      </c>
      <c r="F1032" s="68">
        <f t="shared" si="1609"/>
        <v>50</v>
      </c>
      <c r="G1032" s="68">
        <f t="shared" si="1609"/>
        <v>33</v>
      </c>
      <c r="H1032" s="68">
        <f t="shared" si="1609"/>
        <v>50</v>
      </c>
      <c r="I1032" s="68">
        <f t="shared" si="1609"/>
        <v>39</v>
      </c>
      <c r="J1032" s="68">
        <f t="shared" si="1609"/>
        <v>39</v>
      </c>
      <c r="K1032" s="68">
        <f t="shared" si="1609"/>
        <v>39</v>
      </c>
      <c r="L1032" s="176">
        <f t="shared" si="1609"/>
        <v>39</v>
      </c>
      <c r="M1032" s="176">
        <f t="shared" si="1609"/>
        <v>0</v>
      </c>
      <c r="N1032" s="176">
        <f t="shared" si="1609"/>
        <v>39</v>
      </c>
      <c r="O1032" s="176">
        <f t="shared" si="1609"/>
        <v>0</v>
      </c>
      <c r="P1032" s="176">
        <f t="shared" si="1609"/>
        <v>0</v>
      </c>
      <c r="Q1032" s="117">
        <f t="shared" si="1528"/>
        <v>39</v>
      </c>
      <c r="R1032" s="117">
        <f t="shared" si="1529"/>
        <v>0</v>
      </c>
      <c r="S1032" s="176">
        <f t="shared" si="1609"/>
        <v>39</v>
      </c>
      <c r="T1032" s="176">
        <f t="shared" si="1609"/>
        <v>39</v>
      </c>
      <c r="U1032" s="176">
        <f t="shared" si="1609"/>
        <v>39</v>
      </c>
    </row>
    <row r="1033" spans="1:21" ht="14.25" customHeight="1">
      <c r="A1033" s="34"/>
      <c r="B1033" s="33" t="s">
        <v>588</v>
      </c>
      <c r="C1033" s="12">
        <v>20</v>
      </c>
      <c r="D1033" s="68">
        <v>2</v>
      </c>
      <c r="E1033" s="197">
        <v>0</v>
      </c>
      <c r="F1033" s="66">
        <v>50</v>
      </c>
      <c r="G1033" s="66">
        <v>33</v>
      </c>
      <c r="H1033" s="66">
        <v>50</v>
      </c>
      <c r="I1033" s="197">
        <v>39</v>
      </c>
      <c r="J1033" s="197">
        <v>39</v>
      </c>
      <c r="K1033" s="197">
        <v>39</v>
      </c>
      <c r="L1033" s="282">
        <v>39</v>
      </c>
      <c r="M1033" s="282">
        <v>0</v>
      </c>
      <c r="N1033" s="282">
        <v>39</v>
      </c>
      <c r="O1033" s="282"/>
      <c r="P1033" s="282"/>
      <c r="Q1033" s="117">
        <f t="shared" si="1528"/>
        <v>39</v>
      </c>
      <c r="R1033" s="117">
        <f t="shared" si="1529"/>
        <v>0</v>
      </c>
      <c r="S1033" s="282">
        <v>39</v>
      </c>
      <c r="T1033" s="282">
        <v>39</v>
      </c>
      <c r="U1033" s="282">
        <v>39</v>
      </c>
    </row>
    <row r="1034" spans="1:21" ht="24.75" customHeight="1">
      <c r="A1034" s="41" t="s">
        <v>387</v>
      </c>
      <c r="B1034" s="43" t="s">
        <v>606</v>
      </c>
      <c r="C1034" s="90">
        <v>79.02</v>
      </c>
      <c r="D1034" s="76">
        <f t="shared" ref="D1034:U1034" si="1610">D1049+D1067+D1080+D1131</f>
        <v>21869.5</v>
      </c>
      <c r="E1034" s="76">
        <f t="shared" ref="E1034:F1034" si="1611">E1049+E1067+E1080+E1131</f>
        <v>85999.530000000013</v>
      </c>
      <c r="F1034" s="76">
        <f t="shared" si="1611"/>
        <v>136038.04</v>
      </c>
      <c r="G1034" s="76">
        <f t="shared" si="1610"/>
        <v>96284</v>
      </c>
      <c r="H1034" s="76">
        <f t="shared" si="1610"/>
        <v>136038.04</v>
      </c>
      <c r="I1034" s="76">
        <f t="shared" si="1610"/>
        <v>255627</v>
      </c>
      <c r="J1034" s="76">
        <f t="shared" si="1610"/>
        <v>173295</v>
      </c>
      <c r="K1034" s="76">
        <f t="shared" ref="K1034:L1034" si="1612">K1049+K1067+K1080+K1131</f>
        <v>110256</v>
      </c>
      <c r="L1034" s="300">
        <f t="shared" si="1612"/>
        <v>122091</v>
      </c>
      <c r="M1034" s="300">
        <f t="shared" ref="M1034:P1034" si="1613">M1049+M1067+M1080+M1131</f>
        <v>53082</v>
      </c>
      <c r="N1034" s="300">
        <f t="shared" si="1613"/>
        <v>24655</v>
      </c>
      <c r="O1034" s="300">
        <f t="shared" si="1613"/>
        <v>21681</v>
      </c>
      <c r="P1034" s="300">
        <f t="shared" si="1613"/>
        <v>22673</v>
      </c>
      <c r="Q1034" s="117">
        <f t="shared" si="1528"/>
        <v>122091</v>
      </c>
      <c r="R1034" s="117">
        <f t="shared" si="1529"/>
        <v>0</v>
      </c>
      <c r="S1034" s="300">
        <f t="shared" si="1610"/>
        <v>120563</v>
      </c>
      <c r="T1034" s="300">
        <f t="shared" si="1610"/>
        <v>47456</v>
      </c>
      <c r="U1034" s="300">
        <f t="shared" si="1610"/>
        <v>28134</v>
      </c>
    </row>
    <row r="1035" spans="1:21" ht="20.25" customHeight="1">
      <c r="A1035" s="34"/>
      <c r="B1035" s="24" t="s">
        <v>153</v>
      </c>
      <c r="C1035" s="84"/>
      <c r="D1035" s="76">
        <f t="shared" ref="D1035:U1036" si="1614">D1050+D1073+D1081+D1069</f>
        <v>11563</v>
      </c>
      <c r="E1035" s="76">
        <f t="shared" ref="E1035:F1035" si="1615">E1050+E1073+E1081+E1069</f>
        <v>27445</v>
      </c>
      <c r="F1035" s="76">
        <f t="shared" si="1615"/>
        <v>37658</v>
      </c>
      <c r="G1035" s="76">
        <f t="shared" si="1614"/>
        <v>23100</v>
      </c>
      <c r="H1035" s="76">
        <f t="shared" si="1614"/>
        <v>37658</v>
      </c>
      <c r="I1035" s="76">
        <f t="shared" si="1614"/>
        <v>54041</v>
      </c>
      <c r="J1035" s="76">
        <f t="shared" si="1614"/>
        <v>53725</v>
      </c>
      <c r="K1035" s="76">
        <f t="shared" ref="K1035:L1035" si="1616">K1050+K1073+K1081+K1069</f>
        <v>29421</v>
      </c>
      <c r="L1035" s="300">
        <f t="shared" si="1616"/>
        <v>26100</v>
      </c>
      <c r="M1035" s="300">
        <f t="shared" ref="M1035:P1035" si="1617">M1050+M1073+M1081+M1069</f>
        <v>5030</v>
      </c>
      <c r="N1035" s="300">
        <f t="shared" si="1617"/>
        <v>8025</v>
      </c>
      <c r="O1035" s="300">
        <f t="shared" si="1617"/>
        <v>6025</v>
      </c>
      <c r="P1035" s="300">
        <f t="shared" si="1617"/>
        <v>7020</v>
      </c>
      <c r="Q1035" s="117">
        <f t="shared" si="1528"/>
        <v>26100</v>
      </c>
      <c r="R1035" s="117">
        <f t="shared" si="1529"/>
        <v>0</v>
      </c>
      <c r="S1035" s="300">
        <f t="shared" si="1614"/>
        <v>25224</v>
      </c>
      <c r="T1035" s="300">
        <f t="shared" si="1614"/>
        <v>24690</v>
      </c>
      <c r="U1035" s="300">
        <f t="shared" si="1614"/>
        <v>27189</v>
      </c>
    </row>
    <row r="1036" spans="1:21" ht="15">
      <c r="A1036" s="34"/>
      <c r="B1036" s="33" t="s">
        <v>154</v>
      </c>
      <c r="C1036" s="12">
        <v>1</v>
      </c>
      <c r="D1036" s="69">
        <f t="shared" si="1614"/>
        <v>11563</v>
      </c>
      <c r="E1036" s="69">
        <f t="shared" ref="E1036:F1036" si="1618">E1051+E1074+E1082+E1070</f>
        <v>27445</v>
      </c>
      <c r="F1036" s="69">
        <f t="shared" si="1618"/>
        <v>37658</v>
      </c>
      <c r="G1036" s="69">
        <f t="shared" si="1614"/>
        <v>23100</v>
      </c>
      <c r="H1036" s="69">
        <f t="shared" si="1614"/>
        <v>37658</v>
      </c>
      <c r="I1036" s="69">
        <f t="shared" si="1614"/>
        <v>54041</v>
      </c>
      <c r="J1036" s="69">
        <f t="shared" si="1614"/>
        <v>53725</v>
      </c>
      <c r="K1036" s="69">
        <f t="shared" ref="K1036:L1036" si="1619">K1051+K1074+K1082+K1070</f>
        <v>29421</v>
      </c>
      <c r="L1036" s="283">
        <f t="shared" si="1619"/>
        <v>26100</v>
      </c>
      <c r="M1036" s="283">
        <f t="shared" ref="M1036:P1036" si="1620">M1051+M1074+M1082+M1070</f>
        <v>5030</v>
      </c>
      <c r="N1036" s="283">
        <f t="shared" si="1620"/>
        <v>8025</v>
      </c>
      <c r="O1036" s="283">
        <f t="shared" si="1620"/>
        <v>6025</v>
      </c>
      <c r="P1036" s="283">
        <f t="shared" si="1620"/>
        <v>7020</v>
      </c>
      <c r="Q1036" s="117">
        <f t="shared" si="1528"/>
        <v>26100</v>
      </c>
      <c r="R1036" s="117">
        <f t="shared" si="1529"/>
        <v>0</v>
      </c>
      <c r="S1036" s="283">
        <f t="shared" si="1614"/>
        <v>25224</v>
      </c>
      <c r="T1036" s="283">
        <f t="shared" si="1614"/>
        <v>24690</v>
      </c>
      <c r="U1036" s="283">
        <f t="shared" si="1614"/>
        <v>27189</v>
      </c>
    </row>
    <row r="1037" spans="1:21" ht="15" hidden="1" customHeight="1">
      <c r="A1037" s="34"/>
      <c r="B1037" s="33" t="s">
        <v>155</v>
      </c>
      <c r="C1037" s="12">
        <v>10</v>
      </c>
      <c r="D1037" s="69">
        <f t="shared" ref="D1037:H1037" si="1621">D1083</f>
        <v>0</v>
      </c>
      <c r="E1037" s="197"/>
      <c r="F1037" s="69">
        <f t="shared" ref="F1037" si="1622">F1083</f>
        <v>0</v>
      </c>
      <c r="G1037" s="69">
        <f t="shared" si="1621"/>
        <v>0</v>
      </c>
      <c r="H1037" s="69">
        <f t="shared" si="1621"/>
        <v>0</v>
      </c>
      <c r="I1037" s="197"/>
      <c r="J1037" s="197"/>
      <c r="K1037" s="197"/>
      <c r="L1037" s="282"/>
      <c r="M1037" s="282"/>
      <c r="N1037" s="282"/>
      <c r="O1037" s="282"/>
      <c r="P1037" s="282"/>
      <c r="Q1037" s="117">
        <f t="shared" ref="Q1037:Q1100" si="1623">M1037+N1037+O1037+P1037</f>
        <v>0</v>
      </c>
      <c r="R1037" s="117">
        <f t="shared" ref="R1037:R1100" si="1624">L1037-Q1037</f>
        <v>0</v>
      </c>
      <c r="S1037" s="282"/>
      <c r="T1037" s="282"/>
      <c r="U1037" s="282"/>
    </row>
    <row r="1038" spans="1:21" ht="15">
      <c r="A1038" s="34"/>
      <c r="B1038" s="33" t="s">
        <v>588</v>
      </c>
      <c r="C1038" s="12">
        <v>20</v>
      </c>
      <c r="D1038" s="69">
        <f t="shared" ref="D1038:U1038" si="1625">D1052+D1084+D1071</f>
        <v>11563</v>
      </c>
      <c r="E1038" s="69">
        <f t="shared" ref="E1038:F1038" si="1626">E1052+E1084+E1071</f>
        <v>26495</v>
      </c>
      <c r="F1038" s="69">
        <f t="shared" si="1626"/>
        <v>36708</v>
      </c>
      <c r="G1038" s="69">
        <f t="shared" si="1625"/>
        <v>22150</v>
      </c>
      <c r="H1038" s="69">
        <f t="shared" si="1625"/>
        <v>36708</v>
      </c>
      <c r="I1038" s="69">
        <f t="shared" si="1625"/>
        <v>54041</v>
      </c>
      <c r="J1038" s="69">
        <f t="shared" si="1625"/>
        <v>53725</v>
      </c>
      <c r="K1038" s="69">
        <f t="shared" ref="K1038:L1038" si="1627">K1052+K1084+K1071</f>
        <v>29421</v>
      </c>
      <c r="L1038" s="283">
        <f t="shared" si="1627"/>
        <v>26100</v>
      </c>
      <c r="M1038" s="283">
        <f t="shared" ref="M1038:P1038" si="1628">M1052+M1084+M1071</f>
        <v>5030</v>
      </c>
      <c r="N1038" s="283">
        <f t="shared" si="1628"/>
        <v>8025</v>
      </c>
      <c r="O1038" s="283">
        <f t="shared" si="1628"/>
        <v>6025</v>
      </c>
      <c r="P1038" s="283">
        <f t="shared" si="1628"/>
        <v>7020</v>
      </c>
      <c r="Q1038" s="117">
        <f t="shared" si="1623"/>
        <v>26100</v>
      </c>
      <c r="R1038" s="117">
        <f t="shared" si="1624"/>
        <v>0</v>
      </c>
      <c r="S1038" s="283">
        <f t="shared" si="1625"/>
        <v>25224</v>
      </c>
      <c r="T1038" s="283">
        <f t="shared" si="1625"/>
        <v>24690</v>
      </c>
      <c r="U1038" s="283">
        <f t="shared" si="1625"/>
        <v>27189</v>
      </c>
    </row>
    <row r="1039" spans="1:21" ht="15" hidden="1" customHeight="1">
      <c r="A1039" s="34"/>
      <c r="B1039" s="33" t="s">
        <v>388</v>
      </c>
      <c r="C1039" s="12">
        <v>51</v>
      </c>
      <c r="D1039" s="69">
        <f t="shared" ref="D1039:H1039" si="1629">D1075</f>
        <v>0</v>
      </c>
      <c r="E1039" s="197"/>
      <c r="F1039" s="69">
        <f t="shared" ref="F1039" si="1630">F1075</f>
        <v>0</v>
      </c>
      <c r="G1039" s="69">
        <f t="shared" si="1629"/>
        <v>0</v>
      </c>
      <c r="H1039" s="69">
        <f t="shared" si="1629"/>
        <v>0</v>
      </c>
      <c r="I1039" s="197"/>
      <c r="J1039" s="197"/>
      <c r="K1039" s="197"/>
      <c r="L1039" s="282"/>
      <c r="M1039" s="282"/>
      <c r="N1039" s="282"/>
      <c r="O1039" s="282"/>
      <c r="P1039" s="282"/>
      <c r="Q1039" s="117">
        <f t="shared" si="1623"/>
        <v>0</v>
      </c>
      <c r="R1039" s="117">
        <f t="shared" si="1624"/>
        <v>0</v>
      </c>
      <c r="S1039" s="282"/>
      <c r="T1039" s="282"/>
      <c r="U1039" s="282"/>
    </row>
    <row r="1040" spans="1:21" ht="13.5" hidden="1" customHeight="1">
      <c r="A1040" s="34"/>
      <c r="B1040" s="33" t="s">
        <v>334</v>
      </c>
      <c r="C1040" s="12">
        <v>59.02</v>
      </c>
      <c r="D1040" s="69">
        <f t="shared" ref="D1040:H1040" si="1631">D1053+D1096</f>
        <v>0</v>
      </c>
      <c r="E1040" s="197"/>
      <c r="F1040" s="69">
        <f t="shared" ref="F1040" si="1632">F1053+F1096</f>
        <v>0</v>
      </c>
      <c r="G1040" s="69">
        <f t="shared" si="1631"/>
        <v>0</v>
      </c>
      <c r="H1040" s="69">
        <f t="shared" si="1631"/>
        <v>0</v>
      </c>
      <c r="I1040" s="197"/>
      <c r="J1040" s="197"/>
      <c r="K1040" s="197"/>
      <c r="L1040" s="282"/>
      <c r="M1040" s="282"/>
      <c r="N1040" s="282"/>
      <c r="O1040" s="282"/>
      <c r="P1040" s="282"/>
      <c r="Q1040" s="117">
        <f t="shared" si="1623"/>
        <v>0</v>
      </c>
      <c r="R1040" s="117">
        <f t="shared" si="1624"/>
        <v>0</v>
      </c>
      <c r="S1040" s="282"/>
      <c r="T1040" s="282"/>
      <c r="U1040" s="282"/>
    </row>
    <row r="1041" spans="1:21" ht="13.5" hidden="1" customHeight="1">
      <c r="A1041" s="34"/>
      <c r="B1041" s="33" t="s">
        <v>567</v>
      </c>
      <c r="C1041" s="12"/>
      <c r="D1041" s="69">
        <f t="shared" ref="D1041:U1041" si="1633">D1085</f>
        <v>0</v>
      </c>
      <c r="E1041" s="69">
        <f t="shared" ref="E1041:F1041" si="1634">E1085</f>
        <v>950</v>
      </c>
      <c r="F1041" s="69">
        <f t="shared" si="1634"/>
        <v>950</v>
      </c>
      <c r="G1041" s="69">
        <f t="shared" si="1633"/>
        <v>950</v>
      </c>
      <c r="H1041" s="69">
        <f t="shared" si="1633"/>
        <v>950</v>
      </c>
      <c r="I1041" s="69">
        <f t="shared" si="1633"/>
        <v>0</v>
      </c>
      <c r="J1041" s="69">
        <f t="shared" si="1633"/>
        <v>0</v>
      </c>
      <c r="K1041" s="69">
        <f t="shared" ref="K1041:L1041" si="1635">K1085</f>
        <v>0</v>
      </c>
      <c r="L1041" s="283">
        <f t="shared" si="1635"/>
        <v>0</v>
      </c>
      <c r="M1041" s="283">
        <f t="shared" ref="M1041:P1041" si="1636">M1085</f>
        <v>0</v>
      </c>
      <c r="N1041" s="283">
        <f t="shared" si="1636"/>
        <v>0</v>
      </c>
      <c r="O1041" s="283">
        <f t="shared" si="1636"/>
        <v>0</v>
      </c>
      <c r="P1041" s="283">
        <f t="shared" si="1636"/>
        <v>0</v>
      </c>
      <c r="Q1041" s="117">
        <f t="shared" si="1623"/>
        <v>0</v>
      </c>
      <c r="R1041" s="117">
        <f t="shared" si="1624"/>
        <v>0</v>
      </c>
      <c r="S1041" s="283">
        <f t="shared" si="1633"/>
        <v>0</v>
      </c>
      <c r="T1041" s="283">
        <f t="shared" si="1633"/>
        <v>0</v>
      </c>
      <c r="U1041" s="283">
        <f t="shared" si="1633"/>
        <v>0</v>
      </c>
    </row>
    <row r="1042" spans="1:21" ht="14.25">
      <c r="A1042" s="34"/>
      <c r="B1042" s="26" t="s">
        <v>165</v>
      </c>
      <c r="C1042" s="12"/>
      <c r="D1042" s="69">
        <f t="shared" ref="D1042:U1042" si="1637">D1054+D1086+D1133</f>
        <v>10306.5</v>
      </c>
      <c r="E1042" s="69">
        <f t="shared" ref="E1042:F1042" si="1638">E1054+E1086+E1133</f>
        <v>58554.53</v>
      </c>
      <c r="F1042" s="69">
        <f t="shared" si="1638"/>
        <v>98380.040000000008</v>
      </c>
      <c r="G1042" s="69">
        <f t="shared" si="1637"/>
        <v>73184</v>
      </c>
      <c r="H1042" s="69">
        <f t="shared" si="1637"/>
        <v>98380.040000000008</v>
      </c>
      <c r="I1042" s="69">
        <f t="shared" si="1637"/>
        <v>201586</v>
      </c>
      <c r="J1042" s="69">
        <f t="shared" si="1637"/>
        <v>119570</v>
      </c>
      <c r="K1042" s="69">
        <f t="shared" ref="K1042:L1042" si="1639">K1054+K1086+K1133</f>
        <v>80835</v>
      </c>
      <c r="L1042" s="283">
        <f t="shared" si="1639"/>
        <v>95991</v>
      </c>
      <c r="M1042" s="283">
        <f t="shared" ref="M1042:P1042" si="1640">M1054+M1086+M1133</f>
        <v>48052</v>
      </c>
      <c r="N1042" s="283">
        <f t="shared" si="1640"/>
        <v>16630</v>
      </c>
      <c r="O1042" s="283">
        <f t="shared" si="1640"/>
        <v>15656</v>
      </c>
      <c r="P1042" s="283">
        <f t="shared" si="1640"/>
        <v>15653</v>
      </c>
      <c r="Q1042" s="117">
        <f t="shared" si="1623"/>
        <v>95991</v>
      </c>
      <c r="R1042" s="117">
        <f t="shared" si="1624"/>
        <v>0</v>
      </c>
      <c r="S1042" s="283">
        <f t="shared" si="1637"/>
        <v>95339</v>
      </c>
      <c r="T1042" s="283">
        <f t="shared" si="1637"/>
        <v>22766</v>
      </c>
      <c r="U1042" s="283">
        <f t="shared" si="1637"/>
        <v>945</v>
      </c>
    </row>
    <row r="1043" spans="1:21" ht="15">
      <c r="A1043" s="34"/>
      <c r="B1043" s="33" t="s">
        <v>389</v>
      </c>
      <c r="C1043" s="12">
        <v>55</v>
      </c>
      <c r="D1043" s="69">
        <f t="shared" ref="D1043:U1043" si="1641">D1055+D1134</f>
        <v>957</v>
      </c>
      <c r="E1043" s="69">
        <f t="shared" ref="E1043:F1043" si="1642">E1055+E1134</f>
        <v>950.57</v>
      </c>
      <c r="F1043" s="69">
        <f t="shared" si="1642"/>
        <v>1957</v>
      </c>
      <c r="G1043" s="69">
        <f t="shared" si="1641"/>
        <v>1957</v>
      </c>
      <c r="H1043" s="69">
        <f t="shared" si="1641"/>
        <v>1957</v>
      </c>
      <c r="I1043" s="69">
        <f t="shared" si="1641"/>
        <v>16852</v>
      </c>
      <c r="J1043" s="69">
        <f t="shared" si="1641"/>
        <v>1945</v>
      </c>
      <c r="K1043" s="69">
        <f t="shared" ref="K1043:L1043" si="1643">K1055+K1134</f>
        <v>945</v>
      </c>
      <c r="L1043" s="283">
        <f t="shared" si="1643"/>
        <v>945</v>
      </c>
      <c r="M1043" s="283">
        <f t="shared" ref="M1043:P1043" si="1644">M1055+M1134</f>
        <v>945</v>
      </c>
      <c r="N1043" s="283">
        <f t="shared" si="1644"/>
        <v>0</v>
      </c>
      <c r="O1043" s="283">
        <f t="shared" si="1644"/>
        <v>0</v>
      </c>
      <c r="P1043" s="283">
        <f t="shared" si="1644"/>
        <v>0</v>
      </c>
      <c r="Q1043" s="117">
        <f t="shared" si="1623"/>
        <v>945</v>
      </c>
      <c r="R1043" s="117">
        <f t="shared" si="1624"/>
        <v>0</v>
      </c>
      <c r="S1043" s="283">
        <f t="shared" si="1641"/>
        <v>945</v>
      </c>
      <c r="T1043" s="283">
        <f t="shared" si="1641"/>
        <v>945</v>
      </c>
      <c r="U1043" s="283">
        <f t="shared" si="1641"/>
        <v>945</v>
      </c>
    </row>
    <row r="1044" spans="1:21" ht="29.25" hidden="1" customHeight="1">
      <c r="A1044" s="34"/>
      <c r="B1044" s="59" t="s">
        <v>390</v>
      </c>
      <c r="C1044" s="98" t="s">
        <v>391</v>
      </c>
      <c r="D1044" s="69">
        <f t="shared" ref="D1044:U1044" si="1645">D1134</f>
        <v>0</v>
      </c>
      <c r="E1044" s="69">
        <f t="shared" ref="E1044:F1044" si="1646">E1134</f>
        <v>0</v>
      </c>
      <c r="F1044" s="69">
        <f t="shared" si="1646"/>
        <v>1000</v>
      </c>
      <c r="G1044" s="69">
        <f t="shared" si="1645"/>
        <v>1000</v>
      </c>
      <c r="H1044" s="69">
        <f t="shared" si="1645"/>
        <v>1000</v>
      </c>
      <c r="I1044" s="69">
        <f t="shared" si="1645"/>
        <v>15907</v>
      </c>
      <c r="J1044" s="69">
        <f t="shared" si="1645"/>
        <v>1000</v>
      </c>
      <c r="K1044" s="69">
        <f t="shared" ref="K1044:L1044" si="1647">K1134</f>
        <v>0</v>
      </c>
      <c r="L1044" s="283">
        <f t="shared" si="1647"/>
        <v>0</v>
      </c>
      <c r="M1044" s="283">
        <f t="shared" ref="M1044:P1044" si="1648">M1134</f>
        <v>0</v>
      </c>
      <c r="N1044" s="283">
        <f t="shared" si="1648"/>
        <v>0</v>
      </c>
      <c r="O1044" s="283">
        <f t="shared" si="1648"/>
        <v>0</v>
      </c>
      <c r="P1044" s="283">
        <f t="shared" si="1648"/>
        <v>0</v>
      </c>
      <c r="Q1044" s="117">
        <f t="shared" si="1623"/>
        <v>0</v>
      </c>
      <c r="R1044" s="117">
        <f t="shared" si="1624"/>
        <v>0</v>
      </c>
      <c r="S1044" s="283">
        <f t="shared" si="1645"/>
        <v>0</v>
      </c>
      <c r="T1044" s="283">
        <f t="shared" si="1645"/>
        <v>0</v>
      </c>
      <c r="U1044" s="283">
        <f t="shared" si="1645"/>
        <v>0</v>
      </c>
    </row>
    <row r="1045" spans="1:21" ht="15.75" hidden="1" customHeight="1">
      <c r="A1045" s="34"/>
      <c r="B1045" s="26" t="s">
        <v>174</v>
      </c>
      <c r="C1045" s="12">
        <v>56</v>
      </c>
      <c r="D1045" s="69">
        <f t="shared" ref="D1045:H1045" si="1649">D1087+D1135</f>
        <v>0</v>
      </c>
      <c r="E1045" s="197"/>
      <c r="F1045" s="69">
        <f t="shared" ref="F1045" si="1650">F1087+F1135</f>
        <v>0</v>
      </c>
      <c r="G1045" s="69">
        <f t="shared" si="1649"/>
        <v>0</v>
      </c>
      <c r="H1045" s="69">
        <f t="shared" si="1649"/>
        <v>0</v>
      </c>
      <c r="I1045" s="197"/>
      <c r="J1045" s="197"/>
      <c r="K1045" s="197"/>
      <c r="L1045" s="282"/>
      <c r="M1045" s="282"/>
      <c r="N1045" s="282"/>
      <c r="O1045" s="282"/>
      <c r="P1045" s="282"/>
      <c r="Q1045" s="117">
        <f t="shared" si="1623"/>
        <v>0</v>
      </c>
      <c r="R1045" s="117">
        <f t="shared" si="1624"/>
        <v>0</v>
      </c>
      <c r="S1045" s="282"/>
      <c r="T1045" s="282"/>
      <c r="U1045" s="282"/>
    </row>
    <row r="1046" spans="1:21" ht="15.75" customHeight="1">
      <c r="A1046" s="34"/>
      <c r="B1046" s="26" t="s">
        <v>174</v>
      </c>
      <c r="C1046" s="12">
        <v>58</v>
      </c>
      <c r="D1046" s="69">
        <f t="shared" ref="D1046:H1046" si="1651">D1113+D1119</f>
        <v>26.5</v>
      </c>
      <c r="E1046" s="69">
        <f t="shared" ref="E1046:F1046" si="1652">E1113+E1119</f>
        <v>13270.96</v>
      </c>
      <c r="F1046" s="69">
        <f t="shared" si="1652"/>
        <v>40325</v>
      </c>
      <c r="G1046" s="69">
        <f t="shared" si="1651"/>
        <v>40325</v>
      </c>
      <c r="H1046" s="69">
        <f t="shared" si="1651"/>
        <v>40325</v>
      </c>
      <c r="I1046" s="69">
        <f>I1113+I1119+I1125</f>
        <v>83078</v>
      </c>
      <c r="J1046" s="69">
        <f t="shared" ref="J1046:U1046" si="1653">J1113+J1119+J1125</f>
        <v>76457</v>
      </c>
      <c r="K1046" s="69">
        <f>K1113+K1119+K1125</f>
        <v>78521</v>
      </c>
      <c r="L1046" s="283">
        <f t="shared" ref="L1046:M1046" si="1654">L1113+L1119+L1125</f>
        <v>64080</v>
      </c>
      <c r="M1046" s="283">
        <f t="shared" si="1654"/>
        <v>17115</v>
      </c>
      <c r="N1046" s="283">
        <f t="shared" ref="N1046:P1046" si="1655">N1113+N1119+N1125</f>
        <v>15656</v>
      </c>
      <c r="O1046" s="283">
        <f t="shared" si="1655"/>
        <v>15656</v>
      </c>
      <c r="P1046" s="283">
        <f t="shared" si="1655"/>
        <v>15653</v>
      </c>
      <c r="Q1046" s="117">
        <f t="shared" si="1623"/>
        <v>64080</v>
      </c>
      <c r="R1046" s="117">
        <f t="shared" si="1624"/>
        <v>0</v>
      </c>
      <c r="S1046" s="283">
        <f t="shared" si="1653"/>
        <v>86934</v>
      </c>
      <c r="T1046" s="283">
        <f t="shared" si="1653"/>
        <v>21000</v>
      </c>
      <c r="U1046" s="283">
        <f t="shared" si="1653"/>
        <v>0</v>
      </c>
    </row>
    <row r="1047" spans="1:21" ht="15">
      <c r="A1047" s="34"/>
      <c r="B1047" s="33" t="s">
        <v>194</v>
      </c>
      <c r="C1047" s="12">
        <v>70</v>
      </c>
      <c r="D1047" s="69">
        <f t="shared" ref="D1047:U1048" si="1656">D1089</f>
        <v>9323</v>
      </c>
      <c r="E1047" s="69">
        <f t="shared" ref="E1047:F1047" si="1657">E1089</f>
        <v>44333</v>
      </c>
      <c r="F1047" s="69">
        <f t="shared" si="1657"/>
        <v>56098.04</v>
      </c>
      <c r="G1047" s="69">
        <f t="shared" si="1656"/>
        <v>30902</v>
      </c>
      <c r="H1047" s="69">
        <f t="shared" si="1656"/>
        <v>56098.04</v>
      </c>
      <c r="I1047" s="69">
        <f t="shared" si="1656"/>
        <v>101656</v>
      </c>
      <c r="J1047" s="69">
        <f t="shared" si="1656"/>
        <v>41168</v>
      </c>
      <c r="K1047" s="69">
        <f t="shared" ref="K1047:L1047" si="1658">K1089</f>
        <v>1369</v>
      </c>
      <c r="L1047" s="283">
        <f t="shared" si="1658"/>
        <v>30966</v>
      </c>
      <c r="M1047" s="283">
        <f t="shared" ref="M1047:P1047" si="1659">M1089</f>
        <v>29992</v>
      </c>
      <c r="N1047" s="283">
        <f t="shared" si="1659"/>
        <v>974</v>
      </c>
      <c r="O1047" s="283">
        <f t="shared" si="1659"/>
        <v>0</v>
      </c>
      <c r="P1047" s="283">
        <f t="shared" si="1659"/>
        <v>0</v>
      </c>
      <c r="Q1047" s="117">
        <f t="shared" si="1623"/>
        <v>30966</v>
      </c>
      <c r="R1047" s="117">
        <f t="shared" si="1624"/>
        <v>0</v>
      </c>
      <c r="S1047" s="283">
        <f t="shared" si="1656"/>
        <v>7460</v>
      </c>
      <c r="T1047" s="283">
        <f t="shared" si="1656"/>
        <v>821</v>
      </c>
      <c r="U1047" s="283">
        <f t="shared" si="1656"/>
        <v>0</v>
      </c>
    </row>
    <row r="1048" spans="1:21" ht="15" hidden="1" customHeight="1">
      <c r="A1048" s="34"/>
      <c r="B1048" s="26" t="s">
        <v>164</v>
      </c>
      <c r="C1048" s="84">
        <v>85.01</v>
      </c>
      <c r="D1048" s="69">
        <f t="shared" si="1656"/>
        <v>0</v>
      </c>
      <c r="E1048" s="197"/>
      <c r="F1048" s="69">
        <f t="shared" ref="F1048" si="1660">F1090</f>
        <v>0</v>
      </c>
      <c r="G1048" s="69">
        <f t="shared" si="1656"/>
        <v>0</v>
      </c>
      <c r="H1048" s="69">
        <f t="shared" si="1656"/>
        <v>0</v>
      </c>
      <c r="I1048" s="197"/>
      <c r="J1048" s="197"/>
      <c r="K1048" s="197"/>
      <c r="L1048" s="282"/>
      <c r="M1048" s="282"/>
      <c r="N1048" s="282"/>
      <c r="O1048" s="282"/>
      <c r="P1048" s="282"/>
      <c r="Q1048" s="117">
        <f t="shared" si="1623"/>
        <v>0</v>
      </c>
      <c r="R1048" s="117">
        <f t="shared" si="1624"/>
        <v>0</v>
      </c>
      <c r="S1048" s="282"/>
      <c r="T1048" s="282"/>
      <c r="U1048" s="282"/>
    </row>
    <row r="1049" spans="1:21" ht="14.25">
      <c r="A1049" s="41">
        <v>1</v>
      </c>
      <c r="B1049" s="186" t="s">
        <v>605</v>
      </c>
      <c r="C1049" s="184">
        <v>80.02</v>
      </c>
      <c r="D1049" s="185">
        <f t="shared" ref="D1049:U1049" si="1661">D1056+D1059</f>
        <v>1090</v>
      </c>
      <c r="E1049" s="185">
        <f t="shared" ref="E1049:F1049" si="1662">E1056+E1059</f>
        <v>1013.57</v>
      </c>
      <c r="F1049" s="185">
        <f t="shared" si="1662"/>
        <v>1157</v>
      </c>
      <c r="G1049" s="185">
        <f t="shared" si="1661"/>
        <v>1157</v>
      </c>
      <c r="H1049" s="185">
        <f t="shared" si="1661"/>
        <v>1157</v>
      </c>
      <c r="I1049" s="185">
        <f t="shared" si="1661"/>
        <v>1145</v>
      </c>
      <c r="J1049" s="185">
        <f t="shared" si="1661"/>
        <v>1145</v>
      </c>
      <c r="K1049" s="185">
        <f t="shared" ref="K1049:L1049" si="1663">K1056+K1059</f>
        <v>1145</v>
      </c>
      <c r="L1049" s="299">
        <f t="shared" si="1663"/>
        <v>1045</v>
      </c>
      <c r="M1049" s="299">
        <f t="shared" ref="M1049:P1049" si="1664">M1056+M1059</f>
        <v>975</v>
      </c>
      <c r="N1049" s="299">
        <f t="shared" si="1664"/>
        <v>25</v>
      </c>
      <c r="O1049" s="299">
        <f t="shared" si="1664"/>
        <v>25</v>
      </c>
      <c r="P1049" s="299">
        <f t="shared" si="1664"/>
        <v>20</v>
      </c>
      <c r="Q1049" s="117">
        <f t="shared" si="1623"/>
        <v>1045</v>
      </c>
      <c r="R1049" s="117">
        <f t="shared" si="1624"/>
        <v>0</v>
      </c>
      <c r="S1049" s="299">
        <f t="shared" si="1661"/>
        <v>1145</v>
      </c>
      <c r="T1049" s="299">
        <f t="shared" si="1661"/>
        <v>1145</v>
      </c>
      <c r="U1049" s="299">
        <f t="shared" si="1661"/>
        <v>1145</v>
      </c>
    </row>
    <row r="1050" spans="1:21" ht="14.25">
      <c r="A1050" s="34"/>
      <c r="B1050" s="24" t="s">
        <v>153</v>
      </c>
      <c r="C1050" s="84"/>
      <c r="D1050" s="73">
        <f t="shared" ref="D1050:U1051" si="1665">D1060+D1064</f>
        <v>133</v>
      </c>
      <c r="E1050" s="73">
        <f t="shared" ref="E1050:F1050" si="1666">E1060+E1064</f>
        <v>63</v>
      </c>
      <c r="F1050" s="73">
        <f t="shared" si="1666"/>
        <v>200</v>
      </c>
      <c r="G1050" s="73">
        <f t="shared" si="1665"/>
        <v>200</v>
      </c>
      <c r="H1050" s="73">
        <f t="shared" si="1665"/>
        <v>200</v>
      </c>
      <c r="I1050" s="73">
        <f t="shared" si="1665"/>
        <v>200</v>
      </c>
      <c r="J1050" s="73">
        <f t="shared" si="1665"/>
        <v>200</v>
      </c>
      <c r="K1050" s="73">
        <f t="shared" ref="K1050:L1050" si="1667">K1060+K1064</f>
        <v>200</v>
      </c>
      <c r="L1050" s="292">
        <f t="shared" si="1667"/>
        <v>100</v>
      </c>
      <c r="M1050" s="292">
        <f t="shared" ref="M1050:P1050" si="1668">M1060+M1064</f>
        <v>30</v>
      </c>
      <c r="N1050" s="292">
        <f t="shared" si="1668"/>
        <v>25</v>
      </c>
      <c r="O1050" s="292">
        <f t="shared" si="1668"/>
        <v>25</v>
      </c>
      <c r="P1050" s="292">
        <f t="shared" si="1668"/>
        <v>20</v>
      </c>
      <c r="Q1050" s="117">
        <f t="shared" si="1623"/>
        <v>100</v>
      </c>
      <c r="R1050" s="117">
        <f t="shared" si="1624"/>
        <v>0</v>
      </c>
      <c r="S1050" s="292">
        <f t="shared" si="1665"/>
        <v>200</v>
      </c>
      <c r="T1050" s="292">
        <f t="shared" si="1665"/>
        <v>200</v>
      </c>
      <c r="U1050" s="292">
        <f t="shared" si="1665"/>
        <v>200</v>
      </c>
    </row>
    <row r="1051" spans="1:21" ht="15">
      <c r="A1051" s="34"/>
      <c r="B1051" s="33" t="s">
        <v>154</v>
      </c>
      <c r="C1051" s="12">
        <v>1</v>
      </c>
      <c r="D1051" s="69">
        <f t="shared" si="1665"/>
        <v>133</v>
      </c>
      <c r="E1051" s="69">
        <f t="shared" ref="E1051:F1051" si="1669">E1061+E1065</f>
        <v>63</v>
      </c>
      <c r="F1051" s="69">
        <f t="shared" si="1669"/>
        <v>200</v>
      </c>
      <c r="G1051" s="69">
        <f t="shared" si="1665"/>
        <v>200</v>
      </c>
      <c r="H1051" s="69">
        <f t="shared" si="1665"/>
        <v>200</v>
      </c>
      <c r="I1051" s="69">
        <f t="shared" si="1665"/>
        <v>200</v>
      </c>
      <c r="J1051" s="69">
        <f t="shared" si="1665"/>
        <v>200</v>
      </c>
      <c r="K1051" s="69">
        <f t="shared" ref="K1051:L1051" si="1670">K1061+K1065</f>
        <v>200</v>
      </c>
      <c r="L1051" s="283">
        <f t="shared" si="1670"/>
        <v>100</v>
      </c>
      <c r="M1051" s="283">
        <f t="shared" ref="M1051:P1051" si="1671">M1061+M1065</f>
        <v>30</v>
      </c>
      <c r="N1051" s="283">
        <f t="shared" si="1671"/>
        <v>25</v>
      </c>
      <c r="O1051" s="283">
        <f t="shared" si="1671"/>
        <v>25</v>
      </c>
      <c r="P1051" s="283">
        <f t="shared" si="1671"/>
        <v>20</v>
      </c>
      <c r="Q1051" s="117">
        <f t="shared" si="1623"/>
        <v>100</v>
      </c>
      <c r="R1051" s="117">
        <f t="shared" si="1624"/>
        <v>0</v>
      </c>
      <c r="S1051" s="283">
        <f t="shared" si="1665"/>
        <v>200</v>
      </c>
      <c r="T1051" s="283">
        <f t="shared" si="1665"/>
        <v>200</v>
      </c>
      <c r="U1051" s="283">
        <f t="shared" si="1665"/>
        <v>200</v>
      </c>
    </row>
    <row r="1052" spans="1:21" ht="15">
      <c r="A1052" s="34"/>
      <c r="B1052" s="33" t="s">
        <v>392</v>
      </c>
      <c r="C1052" s="12">
        <v>20</v>
      </c>
      <c r="D1052" s="69">
        <f t="shared" ref="D1052:U1052" si="1672">D1062</f>
        <v>133</v>
      </c>
      <c r="E1052" s="69">
        <f t="shared" ref="E1052:F1052" si="1673">E1062</f>
        <v>63</v>
      </c>
      <c r="F1052" s="69">
        <f t="shared" si="1673"/>
        <v>200</v>
      </c>
      <c r="G1052" s="69">
        <f t="shared" si="1672"/>
        <v>200</v>
      </c>
      <c r="H1052" s="69">
        <f t="shared" si="1672"/>
        <v>200</v>
      </c>
      <c r="I1052" s="69">
        <f t="shared" si="1672"/>
        <v>200</v>
      </c>
      <c r="J1052" s="69">
        <f t="shared" si="1672"/>
        <v>200</v>
      </c>
      <c r="K1052" s="69">
        <f t="shared" ref="K1052:L1052" si="1674">K1062</f>
        <v>200</v>
      </c>
      <c r="L1052" s="283">
        <f t="shared" si="1674"/>
        <v>100</v>
      </c>
      <c r="M1052" s="283">
        <f t="shared" ref="M1052:P1052" si="1675">M1062</f>
        <v>30</v>
      </c>
      <c r="N1052" s="283">
        <f t="shared" si="1675"/>
        <v>25</v>
      </c>
      <c r="O1052" s="283">
        <f t="shared" si="1675"/>
        <v>25</v>
      </c>
      <c r="P1052" s="283">
        <f t="shared" si="1675"/>
        <v>20</v>
      </c>
      <c r="Q1052" s="117">
        <f t="shared" si="1623"/>
        <v>100</v>
      </c>
      <c r="R1052" s="117">
        <f t="shared" si="1624"/>
        <v>0</v>
      </c>
      <c r="S1052" s="283">
        <f t="shared" si="1672"/>
        <v>200</v>
      </c>
      <c r="T1052" s="283">
        <f t="shared" si="1672"/>
        <v>200</v>
      </c>
      <c r="U1052" s="283">
        <f t="shared" si="1672"/>
        <v>200</v>
      </c>
    </row>
    <row r="1053" spans="1:21" ht="0.75" customHeight="1">
      <c r="A1053" s="34"/>
      <c r="B1053" s="33" t="s">
        <v>334</v>
      </c>
      <c r="C1053" s="12">
        <v>59.02</v>
      </c>
      <c r="D1053" s="69">
        <f t="shared" ref="D1053:H1053" si="1676">D1066</f>
        <v>0</v>
      </c>
      <c r="E1053" s="197"/>
      <c r="F1053" s="69">
        <f t="shared" ref="F1053" si="1677">F1066</f>
        <v>0</v>
      </c>
      <c r="G1053" s="69">
        <f t="shared" si="1676"/>
        <v>0</v>
      </c>
      <c r="H1053" s="69">
        <f t="shared" si="1676"/>
        <v>0</v>
      </c>
      <c r="I1053" s="197"/>
      <c r="J1053" s="197"/>
      <c r="K1053" s="197"/>
      <c r="L1053" s="282"/>
      <c r="M1053" s="282"/>
      <c r="N1053" s="282"/>
      <c r="O1053" s="282"/>
      <c r="P1053" s="282"/>
      <c r="Q1053" s="117">
        <f t="shared" si="1623"/>
        <v>0</v>
      </c>
      <c r="R1053" s="117">
        <f t="shared" si="1624"/>
        <v>0</v>
      </c>
      <c r="S1053" s="282"/>
      <c r="T1053" s="282"/>
      <c r="U1053" s="282"/>
    </row>
    <row r="1054" spans="1:21" ht="14.25" customHeight="1">
      <c r="A1054" s="34"/>
      <c r="B1054" s="33" t="s">
        <v>165</v>
      </c>
      <c r="C1054" s="12"/>
      <c r="D1054" s="69">
        <f t="shared" ref="D1054:U1055" si="1678">D1057</f>
        <v>957</v>
      </c>
      <c r="E1054" s="69">
        <f t="shared" ref="E1054:F1054" si="1679">E1057</f>
        <v>950.57</v>
      </c>
      <c r="F1054" s="69">
        <f t="shared" si="1679"/>
        <v>957</v>
      </c>
      <c r="G1054" s="69">
        <f t="shared" si="1678"/>
        <v>957</v>
      </c>
      <c r="H1054" s="69">
        <f t="shared" si="1678"/>
        <v>957</v>
      </c>
      <c r="I1054" s="69">
        <f t="shared" si="1678"/>
        <v>945</v>
      </c>
      <c r="J1054" s="69">
        <f t="shared" si="1678"/>
        <v>945</v>
      </c>
      <c r="K1054" s="69">
        <f t="shared" ref="K1054:L1054" si="1680">K1057</f>
        <v>945</v>
      </c>
      <c r="L1054" s="283">
        <f t="shared" si="1680"/>
        <v>945</v>
      </c>
      <c r="M1054" s="283">
        <f t="shared" ref="M1054:P1054" si="1681">M1057</f>
        <v>945</v>
      </c>
      <c r="N1054" s="283">
        <f t="shared" si="1681"/>
        <v>0</v>
      </c>
      <c r="O1054" s="283">
        <f t="shared" si="1681"/>
        <v>0</v>
      </c>
      <c r="P1054" s="283">
        <f t="shared" si="1681"/>
        <v>0</v>
      </c>
      <c r="Q1054" s="117">
        <f t="shared" si="1623"/>
        <v>945</v>
      </c>
      <c r="R1054" s="117">
        <f t="shared" si="1624"/>
        <v>0</v>
      </c>
      <c r="S1054" s="283">
        <f t="shared" si="1678"/>
        <v>945</v>
      </c>
      <c r="T1054" s="283">
        <f t="shared" si="1678"/>
        <v>945</v>
      </c>
      <c r="U1054" s="283">
        <f t="shared" si="1678"/>
        <v>945</v>
      </c>
    </row>
    <row r="1055" spans="1:21" ht="15">
      <c r="A1055" s="34"/>
      <c r="B1055" s="33" t="s">
        <v>389</v>
      </c>
      <c r="C1055" s="12">
        <v>55</v>
      </c>
      <c r="D1055" s="69">
        <f t="shared" si="1678"/>
        <v>957</v>
      </c>
      <c r="E1055" s="69">
        <f t="shared" ref="E1055:F1055" si="1682">E1058</f>
        <v>950.57</v>
      </c>
      <c r="F1055" s="69">
        <f t="shared" si="1682"/>
        <v>957</v>
      </c>
      <c r="G1055" s="69">
        <f t="shared" si="1678"/>
        <v>957</v>
      </c>
      <c r="H1055" s="69">
        <f t="shared" si="1678"/>
        <v>957</v>
      </c>
      <c r="I1055" s="69">
        <f t="shared" si="1678"/>
        <v>945</v>
      </c>
      <c r="J1055" s="69">
        <f t="shared" si="1678"/>
        <v>945</v>
      </c>
      <c r="K1055" s="69">
        <f t="shared" ref="K1055:L1055" si="1683">K1058</f>
        <v>945</v>
      </c>
      <c r="L1055" s="283">
        <f t="shared" si="1683"/>
        <v>945</v>
      </c>
      <c r="M1055" s="283">
        <f t="shared" ref="M1055:P1055" si="1684">M1058</f>
        <v>945</v>
      </c>
      <c r="N1055" s="283">
        <f t="shared" si="1684"/>
        <v>0</v>
      </c>
      <c r="O1055" s="283">
        <f t="shared" si="1684"/>
        <v>0</v>
      </c>
      <c r="P1055" s="283">
        <f t="shared" si="1684"/>
        <v>0</v>
      </c>
      <c r="Q1055" s="117">
        <f t="shared" si="1623"/>
        <v>945</v>
      </c>
      <c r="R1055" s="117">
        <f t="shared" si="1624"/>
        <v>0</v>
      </c>
      <c r="S1055" s="283">
        <f t="shared" si="1678"/>
        <v>945</v>
      </c>
      <c r="T1055" s="283">
        <f t="shared" si="1678"/>
        <v>945</v>
      </c>
      <c r="U1055" s="283">
        <f t="shared" si="1678"/>
        <v>945</v>
      </c>
    </row>
    <row r="1056" spans="1:21" ht="14.25">
      <c r="A1056" s="34" t="s">
        <v>256</v>
      </c>
      <c r="B1056" s="26" t="s">
        <v>393</v>
      </c>
      <c r="C1056" s="12" t="s">
        <v>394</v>
      </c>
      <c r="D1056" s="73">
        <f t="shared" ref="D1056:U1057" si="1685">D1057</f>
        <v>957</v>
      </c>
      <c r="E1056" s="73">
        <f t="shared" si="1685"/>
        <v>950.57</v>
      </c>
      <c r="F1056" s="73">
        <f t="shared" si="1685"/>
        <v>957</v>
      </c>
      <c r="G1056" s="73">
        <f t="shared" si="1685"/>
        <v>957</v>
      </c>
      <c r="H1056" s="73">
        <f t="shared" si="1685"/>
        <v>957</v>
      </c>
      <c r="I1056" s="73">
        <f t="shared" si="1685"/>
        <v>945</v>
      </c>
      <c r="J1056" s="73">
        <f t="shared" si="1685"/>
        <v>945</v>
      </c>
      <c r="K1056" s="73">
        <f t="shared" si="1685"/>
        <v>945</v>
      </c>
      <c r="L1056" s="292">
        <f t="shared" si="1685"/>
        <v>945</v>
      </c>
      <c r="M1056" s="292">
        <f t="shared" si="1685"/>
        <v>945</v>
      </c>
      <c r="N1056" s="292">
        <f t="shared" si="1685"/>
        <v>0</v>
      </c>
      <c r="O1056" s="292">
        <f t="shared" si="1685"/>
        <v>0</v>
      </c>
      <c r="P1056" s="292">
        <f t="shared" si="1685"/>
        <v>0</v>
      </c>
      <c r="Q1056" s="117">
        <f t="shared" si="1623"/>
        <v>945</v>
      </c>
      <c r="R1056" s="117">
        <f t="shared" si="1624"/>
        <v>0</v>
      </c>
      <c r="S1056" s="292">
        <f t="shared" si="1685"/>
        <v>945</v>
      </c>
      <c r="T1056" s="292">
        <f t="shared" si="1685"/>
        <v>945</v>
      </c>
      <c r="U1056" s="292">
        <f t="shared" si="1685"/>
        <v>945</v>
      </c>
    </row>
    <row r="1057" spans="1:21" ht="14.25">
      <c r="A1057" s="34"/>
      <c r="B1057" s="26" t="s">
        <v>165</v>
      </c>
      <c r="C1057" s="84"/>
      <c r="D1057" s="73">
        <f t="shared" si="1685"/>
        <v>957</v>
      </c>
      <c r="E1057" s="73">
        <f t="shared" si="1685"/>
        <v>950.57</v>
      </c>
      <c r="F1057" s="73">
        <f t="shared" si="1685"/>
        <v>957</v>
      </c>
      <c r="G1057" s="73">
        <f t="shared" si="1685"/>
        <v>957</v>
      </c>
      <c r="H1057" s="73">
        <f t="shared" si="1685"/>
        <v>957</v>
      </c>
      <c r="I1057" s="73">
        <f t="shared" si="1685"/>
        <v>945</v>
      </c>
      <c r="J1057" s="73">
        <f t="shared" si="1685"/>
        <v>945</v>
      </c>
      <c r="K1057" s="73">
        <f t="shared" si="1685"/>
        <v>945</v>
      </c>
      <c r="L1057" s="292">
        <f t="shared" si="1685"/>
        <v>945</v>
      </c>
      <c r="M1057" s="292">
        <f t="shared" si="1685"/>
        <v>945</v>
      </c>
      <c r="N1057" s="292">
        <f t="shared" si="1685"/>
        <v>0</v>
      </c>
      <c r="O1057" s="292">
        <f t="shared" si="1685"/>
        <v>0</v>
      </c>
      <c r="P1057" s="292">
        <f t="shared" si="1685"/>
        <v>0</v>
      </c>
      <c r="Q1057" s="117">
        <f t="shared" si="1623"/>
        <v>945</v>
      </c>
      <c r="R1057" s="117">
        <f t="shared" si="1624"/>
        <v>0</v>
      </c>
      <c r="S1057" s="292">
        <f t="shared" si="1685"/>
        <v>945</v>
      </c>
      <c r="T1057" s="292">
        <f t="shared" si="1685"/>
        <v>945</v>
      </c>
      <c r="U1057" s="292">
        <f t="shared" si="1685"/>
        <v>945</v>
      </c>
    </row>
    <row r="1058" spans="1:21" ht="15">
      <c r="A1058" s="34"/>
      <c r="B1058" s="33" t="s">
        <v>389</v>
      </c>
      <c r="C1058" s="12" t="s">
        <v>193</v>
      </c>
      <c r="D1058" s="68">
        <v>957</v>
      </c>
      <c r="E1058" s="197">
        <v>950.57</v>
      </c>
      <c r="F1058" s="68">
        <v>957</v>
      </c>
      <c r="G1058" s="68">
        <v>957</v>
      </c>
      <c r="H1058" s="68">
        <v>957</v>
      </c>
      <c r="I1058" s="197">
        <v>945</v>
      </c>
      <c r="J1058" s="197">
        <v>945</v>
      </c>
      <c r="K1058" s="199">
        <v>945</v>
      </c>
      <c r="L1058" s="282">
        <v>945</v>
      </c>
      <c r="M1058" s="282">
        <v>945</v>
      </c>
      <c r="N1058" s="282"/>
      <c r="O1058" s="282"/>
      <c r="P1058" s="282"/>
      <c r="Q1058" s="117">
        <f t="shared" si="1623"/>
        <v>945</v>
      </c>
      <c r="R1058" s="117">
        <f t="shared" si="1624"/>
        <v>0</v>
      </c>
      <c r="S1058" s="282">
        <v>945</v>
      </c>
      <c r="T1058" s="282">
        <v>945</v>
      </c>
      <c r="U1058" s="282">
        <v>945</v>
      </c>
    </row>
    <row r="1059" spans="1:21" ht="28.5">
      <c r="A1059" s="34" t="s">
        <v>275</v>
      </c>
      <c r="B1059" s="31" t="s">
        <v>474</v>
      </c>
      <c r="C1059" s="12" t="s">
        <v>395</v>
      </c>
      <c r="D1059" s="73">
        <f t="shared" ref="D1059:U1061" si="1686">D1060</f>
        <v>133</v>
      </c>
      <c r="E1059" s="73">
        <f t="shared" si="1686"/>
        <v>63</v>
      </c>
      <c r="F1059" s="73">
        <f t="shared" si="1686"/>
        <v>200</v>
      </c>
      <c r="G1059" s="73">
        <f t="shared" si="1686"/>
        <v>200</v>
      </c>
      <c r="H1059" s="73">
        <f t="shared" si="1686"/>
        <v>200</v>
      </c>
      <c r="I1059" s="73">
        <f t="shared" si="1686"/>
        <v>200</v>
      </c>
      <c r="J1059" s="73">
        <f t="shared" si="1686"/>
        <v>200</v>
      </c>
      <c r="K1059" s="73">
        <f t="shared" si="1686"/>
        <v>200</v>
      </c>
      <c r="L1059" s="292">
        <f t="shared" si="1686"/>
        <v>100</v>
      </c>
      <c r="M1059" s="292">
        <f t="shared" si="1686"/>
        <v>30</v>
      </c>
      <c r="N1059" s="292">
        <f t="shared" si="1686"/>
        <v>25</v>
      </c>
      <c r="O1059" s="292">
        <f t="shared" si="1686"/>
        <v>25</v>
      </c>
      <c r="P1059" s="292">
        <f t="shared" si="1686"/>
        <v>20</v>
      </c>
      <c r="Q1059" s="117">
        <f t="shared" si="1623"/>
        <v>100</v>
      </c>
      <c r="R1059" s="117">
        <f t="shared" si="1624"/>
        <v>0</v>
      </c>
      <c r="S1059" s="292">
        <f t="shared" si="1686"/>
        <v>200</v>
      </c>
      <c r="T1059" s="292">
        <f t="shared" si="1686"/>
        <v>200</v>
      </c>
      <c r="U1059" s="292">
        <f t="shared" si="1686"/>
        <v>200</v>
      </c>
    </row>
    <row r="1060" spans="1:21" ht="14.25">
      <c r="A1060" s="34"/>
      <c r="B1060" s="24" t="s">
        <v>153</v>
      </c>
      <c r="C1060" s="12"/>
      <c r="D1060" s="73">
        <f t="shared" si="1686"/>
        <v>133</v>
      </c>
      <c r="E1060" s="73">
        <f t="shared" si="1686"/>
        <v>63</v>
      </c>
      <c r="F1060" s="73">
        <f t="shared" si="1686"/>
        <v>200</v>
      </c>
      <c r="G1060" s="73">
        <f t="shared" si="1686"/>
        <v>200</v>
      </c>
      <c r="H1060" s="73">
        <f t="shared" si="1686"/>
        <v>200</v>
      </c>
      <c r="I1060" s="73">
        <f t="shared" si="1686"/>
        <v>200</v>
      </c>
      <c r="J1060" s="73">
        <f t="shared" si="1686"/>
        <v>200</v>
      </c>
      <c r="K1060" s="73">
        <f t="shared" si="1686"/>
        <v>200</v>
      </c>
      <c r="L1060" s="292">
        <f t="shared" si="1686"/>
        <v>100</v>
      </c>
      <c r="M1060" s="292">
        <f t="shared" si="1686"/>
        <v>30</v>
      </c>
      <c r="N1060" s="292">
        <f t="shared" si="1686"/>
        <v>25</v>
      </c>
      <c r="O1060" s="292">
        <f t="shared" si="1686"/>
        <v>25</v>
      </c>
      <c r="P1060" s="292">
        <f t="shared" si="1686"/>
        <v>20</v>
      </c>
      <c r="Q1060" s="117">
        <f t="shared" si="1623"/>
        <v>100</v>
      </c>
      <c r="R1060" s="117">
        <f t="shared" si="1624"/>
        <v>0</v>
      </c>
      <c r="S1060" s="292">
        <f t="shared" si="1686"/>
        <v>200</v>
      </c>
      <c r="T1060" s="292">
        <f t="shared" si="1686"/>
        <v>200</v>
      </c>
      <c r="U1060" s="292">
        <f t="shared" si="1686"/>
        <v>200</v>
      </c>
    </row>
    <row r="1061" spans="1:21" ht="17.25" customHeight="1">
      <c r="A1061" s="34"/>
      <c r="B1061" s="33" t="s">
        <v>154</v>
      </c>
      <c r="C1061" s="12">
        <v>1</v>
      </c>
      <c r="D1061" s="69">
        <f t="shared" si="1686"/>
        <v>133</v>
      </c>
      <c r="E1061" s="69">
        <f t="shared" si="1686"/>
        <v>63</v>
      </c>
      <c r="F1061" s="69">
        <f t="shared" si="1686"/>
        <v>200</v>
      </c>
      <c r="G1061" s="69">
        <f t="shared" si="1686"/>
        <v>200</v>
      </c>
      <c r="H1061" s="69">
        <f t="shared" si="1686"/>
        <v>200</v>
      </c>
      <c r="I1061" s="69">
        <f t="shared" si="1686"/>
        <v>200</v>
      </c>
      <c r="J1061" s="69">
        <f t="shared" si="1686"/>
        <v>200</v>
      </c>
      <c r="K1061" s="69">
        <f t="shared" si="1686"/>
        <v>200</v>
      </c>
      <c r="L1061" s="283">
        <f t="shared" si="1686"/>
        <v>100</v>
      </c>
      <c r="M1061" s="283">
        <f t="shared" si="1686"/>
        <v>30</v>
      </c>
      <c r="N1061" s="283">
        <f t="shared" si="1686"/>
        <v>25</v>
      </c>
      <c r="O1061" s="283">
        <f t="shared" si="1686"/>
        <v>25</v>
      </c>
      <c r="P1061" s="283">
        <f t="shared" si="1686"/>
        <v>20</v>
      </c>
      <c r="Q1061" s="117">
        <f t="shared" si="1623"/>
        <v>100</v>
      </c>
      <c r="R1061" s="117">
        <f t="shared" si="1624"/>
        <v>0</v>
      </c>
      <c r="S1061" s="283">
        <f t="shared" si="1686"/>
        <v>200</v>
      </c>
      <c r="T1061" s="283">
        <f t="shared" si="1686"/>
        <v>200</v>
      </c>
      <c r="U1061" s="283">
        <f t="shared" si="1686"/>
        <v>200</v>
      </c>
    </row>
    <row r="1062" spans="1:21" ht="15.75" customHeight="1">
      <c r="A1062" s="34"/>
      <c r="B1062" s="33" t="s">
        <v>588</v>
      </c>
      <c r="C1062" s="12" t="s">
        <v>396</v>
      </c>
      <c r="D1062" s="68">
        <v>133</v>
      </c>
      <c r="E1062" s="197">
        <v>63</v>
      </c>
      <c r="F1062" s="68">
        <v>200</v>
      </c>
      <c r="G1062" s="68">
        <v>200</v>
      </c>
      <c r="H1062" s="68">
        <v>200</v>
      </c>
      <c r="I1062" s="197">
        <v>200</v>
      </c>
      <c r="J1062" s="197">
        <v>200</v>
      </c>
      <c r="K1062" s="199">
        <v>200</v>
      </c>
      <c r="L1062" s="282">
        <v>100</v>
      </c>
      <c r="M1062" s="282">
        <v>30</v>
      </c>
      <c r="N1062" s="282">
        <v>25</v>
      </c>
      <c r="O1062" s="282">
        <v>25</v>
      </c>
      <c r="P1062" s="282">
        <v>20</v>
      </c>
      <c r="Q1062" s="117">
        <f t="shared" si="1623"/>
        <v>100</v>
      </c>
      <c r="R1062" s="117">
        <f t="shared" si="1624"/>
        <v>0</v>
      </c>
      <c r="S1062" s="282">
        <v>200</v>
      </c>
      <c r="T1062" s="282">
        <v>200</v>
      </c>
      <c r="U1062" s="282">
        <v>200</v>
      </c>
    </row>
    <row r="1063" spans="1:21" ht="15" hidden="1" customHeight="1">
      <c r="A1063" s="34" t="s">
        <v>375</v>
      </c>
      <c r="B1063" s="26" t="s">
        <v>397</v>
      </c>
      <c r="C1063" s="84" t="s">
        <v>398</v>
      </c>
      <c r="D1063" s="75"/>
      <c r="E1063" s="197"/>
      <c r="F1063" s="75"/>
      <c r="G1063" s="75"/>
      <c r="H1063" s="75"/>
      <c r="I1063" s="197"/>
      <c r="J1063" s="197"/>
      <c r="K1063" s="197"/>
      <c r="L1063" s="282"/>
      <c r="M1063" s="282"/>
      <c r="N1063" s="282"/>
      <c r="O1063" s="282"/>
      <c r="P1063" s="282"/>
      <c r="Q1063" s="117">
        <f t="shared" si="1623"/>
        <v>0</v>
      </c>
      <c r="R1063" s="117">
        <f t="shared" si="1624"/>
        <v>0</v>
      </c>
      <c r="S1063" s="282"/>
      <c r="T1063" s="282"/>
      <c r="U1063" s="282"/>
    </row>
    <row r="1064" spans="1:21" ht="15" hidden="1" customHeight="1">
      <c r="A1064" s="34"/>
      <c r="B1064" s="24" t="s">
        <v>153</v>
      </c>
      <c r="C1064" s="84"/>
      <c r="D1064" s="75"/>
      <c r="E1064" s="197"/>
      <c r="F1064" s="75"/>
      <c r="G1064" s="75"/>
      <c r="H1064" s="75"/>
      <c r="I1064" s="197"/>
      <c r="J1064" s="197"/>
      <c r="K1064" s="197"/>
      <c r="L1064" s="282"/>
      <c r="M1064" s="282"/>
      <c r="N1064" s="282"/>
      <c r="O1064" s="282"/>
      <c r="P1064" s="282"/>
      <c r="Q1064" s="117">
        <f t="shared" si="1623"/>
        <v>0</v>
      </c>
      <c r="R1064" s="117">
        <f t="shared" si="1624"/>
        <v>0</v>
      </c>
      <c r="S1064" s="282"/>
      <c r="T1064" s="282"/>
      <c r="U1064" s="282"/>
    </row>
    <row r="1065" spans="1:21" ht="15" hidden="1" customHeight="1">
      <c r="A1065" s="34"/>
      <c r="B1065" s="33" t="s">
        <v>154</v>
      </c>
      <c r="C1065" s="12">
        <v>1</v>
      </c>
      <c r="D1065" s="68"/>
      <c r="E1065" s="197"/>
      <c r="F1065" s="68"/>
      <c r="G1065" s="68"/>
      <c r="H1065" s="68"/>
      <c r="I1065" s="197"/>
      <c r="J1065" s="197"/>
      <c r="K1065" s="197"/>
      <c r="L1065" s="282"/>
      <c r="M1065" s="282"/>
      <c r="N1065" s="282"/>
      <c r="O1065" s="282"/>
      <c r="P1065" s="282"/>
      <c r="Q1065" s="117">
        <f t="shared" si="1623"/>
        <v>0</v>
      </c>
      <c r="R1065" s="117">
        <f t="shared" si="1624"/>
        <v>0</v>
      </c>
      <c r="S1065" s="282"/>
      <c r="T1065" s="282"/>
      <c r="U1065" s="282"/>
    </row>
    <row r="1066" spans="1:21" ht="15" hidden="1" customHeight="1">
      <c r="A1066" s="34"/>
      <c r="B1066" s="33" t="s">
        <v>399</v>
      </c>
      <c r="C1066" s="12">
        <v>59.02</v>
      </c>
      <c r="D1066" s="68"/>
      <c r="E1066" s="197"/>
      <c r="F1066" s="68"/>
      <c r="G1066" s="68"/>
      <c r="H1066" s="68"/>
      <c r="I1066" s="197"/>
      <c r="J1066" s="197"/>
      <c r="K1066" s="197"/>
      <c r="L1066" s="282"/>
      <c r="M1066" s="282"/>
      <c r="N1066" s="282"/>
      <c r="O1066" s="282"/>
      <c r="P1066" s="282"/>
      <c r="Q1066" s="117">
        <f t="shared" si="1623"/>
        <v>0</v>
      </c>
      <c r="R1066" s="117">
        <f t="shared" si="1624"/>
        <v>0</v>
      </c>
      <c r="S1066" s="282"/>
      <c r="T1066" s="282"/>
      <c r="U1066" s="282"/>
    </row>
    <row r="1067" spans="1:21" ht="15" hidden="1" customHeight="1">
      <c r="A1067" s="41">
        <v>2</v>
      </c>
      <c r="B1067" s="45" t="s">
        <v>400</v>
      </c>
      <c r="C1067" s="90">
        <v>83.02</v>
      </c>
      <c r="D1067" s="73">
        <f t="shared" ref="D1067:H1068" si="1687">D1068</f>
        <v>0</v>
      </c>
      <c r="E1067" s="197"/>
      <c r="F1067" s="73">
        <f t="shared" si="1687"/>
        <v>0</v>
      </c>
      <c r="G1067" s="73">
        <f t="shared" si="1687"/>
        <v>0</v>
      </c>
      <c r="H1067" s="73">
        <f t="shared" si="1687"/>
        <v>0</v>
      </c>
      <c r="I1067" s="197"/>
      <c r="J1067" s="197"/>
      <c r="K1067" s="197"/>
      <c r="L1067" s="282"/>
      <c r="M1067" s="282"/>
      <c r="N1067" s="282"/>
      <c r="O1067" s="282"/>
      <c r="P1067" s="282"/>
      <c r="Q1067" s="117">
        <f t="shared" si="1623"/>
        <v>0</v>
      </c>
      <c r="R1067" s="117">
        <f t="shared" si="1624"/>
        <v>0</v>
      </c>
      <c r="S1067" s="282"/>
      <c r="T1067" s="282"/>
      <c r="U1067" s="282"/>
    </row>
    <row r="1068" spans="1:21" ht="15" hidden="1" customHeight="1">
      <c r="A1068" s="34"/>
      <c r="B1068" s="26" t="s">
        <v>401</v>
      </c>
      <c r="C1068" s="12" t="s">
        <v>402</v>
      </c>
      <c r="D1068" s="69">
        <f t="shared" si="1687"/>
        <v>0</v>
      </c>
      <c r="E1068" s="197"/>
      <c r="F1068" s="69">
        <f t="shared" si="1687"/>
        <v>0</v>
      </c>
      <c r="G1068" s="69">
        <f t="shared" si="1687"/>
        <v>0</v>
      </c>
      <c r="H1068" s="69">
        <f t="shared" si="1687"/>
        <v>0</v>
      </c>
      <c r="I1068" s="197"/>
      <c r="J1068" s="197"/>
      <c r="K1068" s="197"/>
      <c r="L1068" s="282"/>
      <c r="M1068" s="282"/>
      <c r="N1068" s="282"/>
      <c r="O1068" s="282"/>
      <c r="P1068" s="282"/>
      <c r="Q1068" s="117">
        <f t="shared" si="1623"/>
        <v>0</v>
      </c>
      <c r="R1068" s="117">
        <f t="shared" si="1624"/>
        <v>0</v>
      </c>
      <c r="S1068" s="282"/>
      <c r="T1068" s="282"/>
      <c r="U1068" s="282"/>
    </row>
    <row r="1069" spans="1:21" ht="15" hidden="1" customHeight="1">
      <c r="A1069" s="34"/>
      <c r="B1069" s="24" t="s">
        <v>153</v>
      </c>
      <c r="C1069" s="12"/>
      <c r="D1069" s="68">
        <f t="shared" ref="D1069:H1069" si="1688">D1071</f>
        <v>0</v>
      </c>
      <c r="E1069" s="197"/>
      <c r="F1069" s="68">
        <f t="shared" ref="F1069" si="1689">F1071</f>
        <v>0</v>
      </c>
      <c r="G1069" s="68">
        <f t="shared" si="1688"/>
        <v>0</v>
      </c>
      <c r="H1069" s="68">
        <f t="shared" si="1688"/>
        <v>0</v>
      </c>
      <c r="I1069" s="197"/>
      <c r="J1069" s="197"/>
      <c r="K1069" s="197"/>
      <c r="L1069" s="282"/>
      <c r="M1069" s="282"/>
      <c r="N1069" s="282"/>
      <c r="O1069" s="282"/>
      <c r="P1069" s="282"/>
      <c r="Q1069" s="117">
        <f t="shared" si="1623"/>
        <v>0</v>
      </c>
      <c r="R1069" s="117">
        <f t="shared" si="1624"/>
        <v>0</v>
      </c>
      <c r="S1069" s="282"/>
      <c r="T1069" s="282"/>
      <c r="U1069" s="282"/>
    </row>
    <row r="1070" spans="1:21" ht="15" hidden="1" customHeight="1">
      <c r="A1070" s="34"/>
      <c r="B1070" s="33" t="s">
        <v>154</v>
      </c>
      <c r="C1070" s="12"/>
      <c r="D1070" s="68">
        <f t="shared" ref="D1070:H1070" si="1690">D1071</f>
        <v>0</v>
      </c>
      <c r="E1070" s="197"/>
      <c r="F1070" s="68">
        <f t="shared" si="1690"/>
        <v>0</v>
      </c>
      <c r="G1070" s="68">
        <f t="shared" si="1690"/>
        <v>0</v>
      </c>
      <c r="H1070" s="68">
        <f t="shared" si="1690"/>
        <v>0</v>
      </c>
      <c r="I1070" s="197"/>
      <c r="J1070" s="197"/>
      <c r="K1070" s="197"/>
      <c r="L1070" s="282"/>
      <c r="M1070" s="282"/>
      <c r="N1070" s="282"/>
      <c r="O1070" s="282"/>
      <c r="P1070" s="282"/>
      <c r="Q1070" s="117">
        <f t="shared" si="1623"/>
        <v>0</v>
      </c>
      <c r="R1070" s="117">
        <f t="shared" si="1624"/>
        <v>0</v>
      </c>
      <c r="S1070" s="282"/>
      <c r="T1070" s="282"/>
      <c r="U1070" s="282"/>
    </row>
    <row r="1071" spans="1:21" ht="14.25" hidden="1" customHeight="1">
      <c r="A1071" s="34"/>
      <c r="B1071" s="33" t="s">
        <v>156</v>
      </c>
      <c r="C1071" s="12"/>
      <c r="D1071" s="68"/>
      <c r="E1071" s="197"/>
      <c r="F1071" s="68"/>
      <c r="G1071" s="68"/>
      <c r="H1071" s="68"/>
      <c r="I1071" s="197"/>
      <c r="J1071" s="197"/>
      <c r="K1071" s="197"/>
      <c r="L1071" s="282"/>
      <c r="M1071" s="282"/>
      <c r="N1071" s="282"/>
      <c r="O1071" s="282"/>
      <c r="P1071" s="282"/>
      <c r="Q1071" s="117">
        <f t="shared" si="1623"/>
        <v>0</v>
      </c>
      <c r="R1071" s="117">
        <f t="shared" si="1624"/>
        <v>0</v>
      </c>
      <c r="S1071" s="282"/>
      <c r="T1071" s="282"/>
      <c r="U1071" s="282"/>
    </row>
    <row r="1072" spans="1:21" ht="0.75" hidden="1" customHeight="1">
      <c r="A1072" s="34"/>
      <c r="B1072" s="26" t="s">
        <v>403</v>
      </c>
      <c r="C1072" s="12" t="s">
        <v>404</v>
      </c>
      <c r="D1072" s="68"/>
      <c r="E1072" s="197"/>
      <c r="F1072" s="68"/>
      <c r="G1072" s="68"/>
      <c r="H1072" s="68"/>
      <c r="I1072" s="197"/>
      <c r="J1072" s="197"/>
      <c r="K1072" s="197"/>
      <c r="L1072" s="282"/>
      <c r="M1072" s="282"/>
      <c r="N1072" s="282"/>
      <c r="O1072" s="282"/>
      <c r="P1072" s="282"/>
      <c r="Q1072" s="117">
        <f t="shared" si="1623"/>
        <v>0</v>
      </c>
      <c r="R1072" s="117">
        <f t="shared" si="1624"/>
        <v>0</v>
      </c>
      <c r="S1072" s="282"/>
      <c r="T1072" s="282"/>
      <c r="U1072" s="282"/>
    </row>
    <row r="1073" spans="1:21" ht="15" hidden="1" customHeight="1">
      <c r="A1073" s="34"/>
      <c r="B1073" s="24" t="s">
        <v>153</v>
      </c>
      <c r="C1073" s="12"/>
      <c r="D1073" s="68"/>
      <c r="E1073" s="197"/>
      <c r="F1073" s="68"/>
      <c r="G1073" s="68"/>
      <c r="H1073" s="68"/>
      <c r="I1073" s="197"/>
      <c r="J1073" s="197"/>
      <c r="K1073" s="197"/>
      <c r="L1073" s="282"/>
      <c r="M1073" s="282"/>
      <c r="N1073" s="282"/>
      <c r="O1073" s="282"/>
      <c r="P1073" s="282"/>
      <c r="Q1073" s="117">
        <f t="shared" si="1623"/>
        <v>0</v>
      </c>
      <c r="R1073" s="117">
        <f t="shared" si="1624"/>
        <v>0</v>
      </c>
      <c r="S1073" s="282"/>
      <c r="T1073" s="282"/>
      <c r="U1073" s="282"/>
    </row>
    <row r="1074" spans="1:21" ht="15" hidden="1" customHeight="1">
      <c r="A1074" s="34"/>
      <c r="B1074" s="33" t="s">
        <v>154</v>
      </c>
      <c r="C1074" s="12">
        <v>1</v>
      </c>
      <c r="D1074" s="68"/>
      <c r="E1074" s="197"/>
      <c r="F1074" s="68"/>
      <c r="G1074" s="68"/>
      <c r="H1074" s="68"/>
      <c r="I1074" s="197"/>
      <c r="J1074" s="197"/>
      <c r="K1074" s="197"/>
      <c r="L1074" s="282"/>
      <c r="M1074" s="282"/>
      <c r="N1074" s="282"/>
      <c r="O1074" s="282"/>
      <c r="P1074" s="282"/>
      <c r="Q1074" s="117">
        <f t="shared" si="1623"/>
        <v>0</v>
      </c>
      <c r="R1074" s="117">
        <f t="shared" si="1624"/>
        <v>0</v>
      </c>
      <c r="S1074" s="282"/>
      <c r="T1074" s="282"/>
      <c r="U1074" s="282"/>
    </row>
    <row r="1075" spans="1:21" ht="15" hidden="1" customHeight="1">
      <c r="A1075" s="34"/>
      <c r="B1075" s="32" t="s">
        <v>405</v>
      </c>
      <c r="C1075" s="12" t="s">
        <v>406</v>
      </c>
      <c r="D1075" s="68"/>
      <c r="E1075" s="197"/>
      <c r="F1075" s="68"/>
      <c r="G1075" s="68"/>
      <c r="H1075" s="68"/>
      <c r="I1075" s="197"/>
      <c r="J1075" s="197"/>
      <c r="K1075" s="197"/>
      <c r="L1075" s="282"/>
      <c r="M1075" s="282"/>
      <c r="N1075" s="282"/>
      <c r="O1075" s="282"/>
      <c r="P1075" s="282"/>
      <c r="Q1075" s="117">
        <f t="shared" si="1623"/>
        <v>0</v>
      </c>
      <c r="R1075" s="117">
        <f t="shared" si="1624"/>
        <v>0</v>
      </c>
      <c r="S1075" s="282"/>
      <c r="T1075" s="282"/>
      <c r="U1075" s="282"/>
    </row>
    <row r="1076" spans="1:21" ht="15" hidden="1" customHeight="1">
      <c r="A1076" s="34"/>
      <c r="B1076" s="33" t="s">
        <v>155</v>
      </c>
      <c r="C1076" s="12">
        <v>10</v>
      </c>
      <c r="D1076" s="68"/>
      <c r="E1076" s="197"/>
      <c r="F1076" s="68"/>
      <c r="G1076" s="68"/>
      <c r="H1076" s="68"/>
      <c r="I1076" s="197"/>
      <c r="J1076" s="197"/>
      <c r="K1076" s="197"/>
      <c r="L1076" s="282"/>
      <c r="M1076" s="282"/>
      <c r="N1076" s="282"/>
      <c r="O1076" s="282"/>
      <c r="P1076" s="282"/>
      <c r="Q1076" s="117">
        <f t="shared" si="1623"/>
        <v>0</v>
      </c>
      <c r="R1076" s="117">
        <f t="shared" si="1624"/>
        <v>0</v>
      </c>
      <c r="S1076" s="282"/>
      <c r="T1076" s="282"/>
      <c r="U1076" s="282"/>
    </row>
    <row r="1077" spans="1:21" ht="15" hidden="1" customHeight="1">
      <c r="A1077" s="34"/>
      <c r="B1077" s="33" t="s">
        <v>156</v>
      </c>
      <c r="C1077" s="12">
        <v>20</v>
      </c>
      <c r="D1077" s="68"/>
      <c r="E1077" s="197"/>
      <c r="F1077" s="68"/>
      <c r="G1077" s="68"/>
      <c r="H1077" s="68"/>
      <c r="I1077" s="197"/>
      <c r="J1077" s="197"/>
      <c r="K1077" s="197"/>
      <c r="L1077" s="282"/>
      <c r="M1077" s="282"/>
      <c r="N1077" s="282"/>
      <c r="O1077" s="282"/>
      <c r="P1077" s="282"/>
      <c r="Q1077" s="117">
        <f t="shared" si="1623"/>
        <v>0</v>
      </c>
      <c r="R1077" s="117">
        <f t="shared" si="1624"/>
        <v>0</v>
      </c>
      <c r="S1077" s="282"/>
      <c r="T1077" s="282"/>
      <c r="U1077" s="282"/>
    </row>
    <row r="1078" spans="1:21" ht="15" hidden="1" customHeight="1">
      <c r="A1078" s="34"/>
      <c r="B1078" s="33" t="s">
        <v>165</v>
      </c>
      <c r="C1078" s="12"/>
      <c r="D1078" s="68"/>
      <c r="E1078" s="197"/>
      <c r="F1078" s="68"/>
      <c r="G1078" s="68"/>
      <c r="H1078" s="68"/>
      <c r="I1078" s="197"/>
      <c r="J1078" s="197"/>
      <c r="K1078" s="197"/>
      <c r="L1078" s="282"/>
      <c r="M1078" s="282"/>
      <c r="N1078" s="282"/>
      <c r="O1078" s="282"/>
      <c r="P1078" s="282"/>
      <c r="Q1078" s="117">
        <f t="shared" si="1623"/>
        <v>0</v>
      </c>
      <c r="R1078" s="117">
        <f t="shared" si="1624"/>
        <v>0</v>
      </c>
      <c r="S1078" s="282"/>
      <c r="T1078" s="282"/>
      <c r="U1078" s="282"/>
    </row>
    <row r="1079" spans="1:21" ht="15" hidden="1" customHeight="1">
      <c r="A1079" s="34"/>
      <c r="B1079" s="33" t="s">
        <v>194</v>
      </c>
      <c r="C1079" s="12">
        <v>70</v>
      </c>
      <c r="D1079" s="68"/>
      <c r="E1079" s="197"/>
      <c r="F1079" s="68"/>
      <c r="G1079" s="68"/>
      <c r="H1079" s="68"/>
      <c r="I1079" s="197"/>
      <c r="J1079" s="197"/>
      <c r="K1079" s="197"/>
      <c r="L1079" s="282"/>
      <c r="M1079" s="282"/>
      <c r="N1079" s="282"/>
      <c r="O1079" s="282"/>
      <c r="P1079" s="282"/>
      <c r="Q1079" s="117">
        <f t="shared" si="1623"/>
        <v>0</v>
      </c>
      <c r="R1079" s="117">
        <f t="shared" si="1624"/>
        <v>0</v>
      </c>
      <c r="S1079" s="282"/>
      <c r="T1079" s="282"/>
      <c r="U1079" s="282"/>
    </row>
    <row r="1080" spans="1:21" ht="15" customHeight="1">
      <c r="A1080" s="41">
        <v>2</v>
      </c>
      <c r="B1080" s="186" t="s">
        <v>407</v>
      </c>
      <c r="C1080" s="184">
        <v>84.02</v>
      </c>
      <c r="D1080" s="185">
        <f t="shared" ref="D1080:H1080" si="1691">D1091+D1113+D1119</f>
        <v>20779.5</v>
      </c>
      <c r="E1080" s="185">
        <f t="shared" ref="E1080:F1080" si="1692">E1091+E1113+E1119</f>
        <v>84985.96</v>
      </c>
      <c r="F1080" s="185">
        <f t="shared" si="1692"/>
        <v>133881.04</v>
      </c>
      <c r="G1080" s="185">
        <f t="shared" si="1691"/>
        <v>94127</v>
      </c>
      <c r="H1080" s="185">
        <f t="shared" si="1691"/>
        <v>133881.04</v>
      </c>
      <c r="I1080" s="185">
        <f t="shared" ref="I1080:P1080" si="1693">I1091+I1113+I1119+I1125</f>
        <v>238575</v>
      </c>
      <c r="J1080" s="185">
        <f t="shared" si="1693"/>
        <v>171150</v>
      </c>
      <c r="K1080" s="185">
        <f t="shared" si="1693"/>
        <v>109111</v>
      </c>
      <c r="L1080" s="299">
        <f t="shared" si="1693"/>
        <v>121046</v>
      </c>
      <c r="M1080" s="299">
        <f t="shared" si="1693"/>
        <v>52107</v>
      </c>
      <c r="N1080" s="299">
        <f t="shared" si="1693"/>
        <v>24630</v>
      </c>
      <c r="O1080" s="299">
        <f t="shared" si="1693"/>
        <v>21656</v>
      </c>
      <c r="P1080" s="299">
        <f t="shared" si="1693"/>
        <v>22653</v>
      </c>
      <c r="Q1080" s="117">
        <f t="shared" si="1623"/>
        <v>121046</v>
      </c>
      <c r="R1080" s="117">
        <f t="shared" si="1624"/>
        <v>0</v>
      </c>
      <c r="S1080" s="299">
        <f t="shared" ref="S1080:U1080" si="1694">S1091+S1113+S1119+S1125</f>
        <v>119418</v>
      </c>
      <c r="T1080" s="299">
        <f t="shared" si="1694"/>
        <v>46311</v>
      </c>
      <c r="U1080" s="299">
        <f t="shared" si="1694"/>
        <v>26989</v>
      </c>
    </row>
    <row r="1081" spans="1:21" ht="14.25">
      <c r="A1081" s="34"/>
      <c r="B1081" s="24" t="s">
        <v>153</v>
      </c>
      <c r="C1081" s="12"/>
      <c r="D1081" s="73">
        <f t="shared" ref="D1081" si="1695">D1084</f>
        <v>11430</v>
      </c>
      <c r="E1081" s="73">
        <f t="shared" ref="E1081" si="1696">E1092</f>
        <v>27382</v>
      </c>
      <c r="F1081" s="73">
        <f>F1092</f>
        <v>37458</v>
      </c>
      <c r="G1081" s="73">
        <f>G1092</f>
        <v>22900</v>
      </c>
      <c r="H1081" s="73">
        <f>H1092</f>
        <v>37458</v>
      </c>
      <c r="I1081" s="73">
        <f t="shared" ref="I1081:U1081" si="1697">I1092</f>
        <v>53841</v>
      </c>
      <c r="J1081" s="73">
        <f t="shared" si="1697"/>
        <v>53525</v>
      </c>
      <c r="K1081" s="73">
        <f t="shared" ref="K1081:L1081" si="1698">K1092</f>
        <v>29221</v>
      </c>
      <c r="L1081" s="292">
        <f t="shared" si="1698"/>
        <v>26000</v>
      </c>
      <c r="M1081" s="292">
        <f t="shared" ref="M1081:P1081" si="1699">M1092</f>
        <v>5000</v>
      </c>
      <c r="N1081" s="292">
        <f t="shared" si="1699"/>
        <v>8000</v>
      </c>
      <c r="O1081" s="292">
        <f t="shared" si="1699"/>
        <v>6000</v>
      </c>
      <c r="P1081" s="292">
        <f t="shared" si="1699"/>
        <v>7000</v>
      </c>
      <c r="Q1081" s="117">
        <f t="shared" si="1623"/>
        <v>26000</v>
      </c>
      <c r="R1081" s="117">
        <f t="shared" si="1624"/>
        <v>0</v>
      </c>
      <c r="S1081" s="292">
        <f t="shared" si="1697"/>
        <v>25024</v>
      </c>
      <c r="T1081" s="292">
        <f t="shared" si="1697"/>
        <v>24490</v>
      </c>
      <c r="U1081" s="292">
        <f t="shared" si="1697"/>
        <v>26989</v>
      </c>
    </row>
    <row r="1082" spans="1:21" ht="18.75" customHeight="1">
      <c r="A1082" s="34"/>
      <c r="B1082" s="33" t="s">
        <v>154</v>
      </c>
      <c r="C1082" s="12">
        <v>1</v>
      </c>
      <c r="D1082" s="73">
        <f t="shared" ref="D1082:U1084" si="1700">D1093</f>
        <v>11430</v>
      </c>
      <c r="E1082" s="73">
        <f t="shared" ref="E1082:F1082" si="1701">E1093</f>
        <v>27382</v>
      </c>
      <c r="F1082" s="73">
        <f t="shared" si="1701"/>
        <v>37458</v>
      </c>
      <c r="G1082" s="73">
        <f t="shared" si="1700"/>
        <v>22900</v>
      </c>
      <c r="H1082" s="73">
        <f t="shared" si="1700"/>
        <v>37458</v>
      </c>
      <c r="I1082" s="73">
        <f t="shared" si="1700"/>
        <v>53841</v>
      </c>
      <c r="J1082" s="73">
        <f t="shared" si="1700"/>
        <v>53525</v>
      </c>
      <c r="K1082" s="73">
        <f t="shared" ref="K1082:L1082" si="1702">K1093</f>
        <v>29221</v>
      </c>
      <c r="L1082" s="292">
        <f t="shared" si="1702"/>
        <v>26000</v>
      </c>
      <c r="M1082" s="292">
        <f t="shared" ref="M1082:P1082" si="1703">M1093</f>
        <v>5000</v>
      </c>
      <c r="N1082" s="292">
        <f t="shared" si="1703"/>
        <v>8000</v>
      </c>
      <c r="O1082" s="292">
        <f t="shared" si="1703"/>
        <v>6000</v>
      </c>
      <c r="P1082" s="292">
        <f t="shared" si="1703"/>
        <v>7000</v>
      </c>
      <c r="Q1082" s="117">
        <f t="shared" si="1623"/>
        <v>26000</v>
      </c>
      <c r="R1082" s="117">
        <f t="shared" si="1624"/>
        <v>0</v>
      </c>
      <c r="S1082" s="292">
        <f t="shared" si="1700"/>
        <v>25024</v>
      </c>
      <c r="T1082" s="292">
        <f t="shared" si="1700"/>
        <v>24490</v>
      </c>
      <c r="U1082" s="292">
        <f t="shared" si="1700"/>
        <v>26989</v>
      </c>
    </row>
    <row r="1083" spans="1:21" ht="15" hidden="1" customHeight="1">
      <c r="A1083" s="34"/>
      <c r="B1083" s="33" t="s">
        <v>155</v>
      </c>
      <c r="C1083" s="12">
        <v>10</v>
      </c>
      <c r="D1083" s="73"/>
      <c r="E1083" s="197"/>
      <c r="F1083" s="73"/>
      <c r="G1083" s="73"/>
      <c r="H1083" s="73"/>
      <c r="I1083" s="197"/>
      <c r="J1083" s="197"/>
      <c r="K1083" s="197"/>
      <c r="L1083" s="282"/>
      <c r="M1083" s="282"/>
      <c r="N1083" s="282"/>
      <c r="O1083" s="282"/>
      <c r="P1083" s="282"/>
      <c r="Q1083" s="117">
        <f t="shared" si="1623"/>
        <v>0</v>
      </c>
      <c r="R1083" s="117">
        <f t="shared" si="1624"/>
        <v>0</v>
      </c>
      <c r="S1083" s="282"/>
      <c r="T1083" s="282"/>
      <c r="U1083" s="282"/>
    </row>
    <row r="1084" spans="1:21" ht="15">
      <c r="A1084" s="34"/>
      <c r="B1084" s="33" t="s">
        <v>588</v>
      </c>
      <c r="C1084" s="12">
        <v>20</v>
      </c>
      <c r="D1084" s="73">
        <f t="shared" si="1700"/>
        <v>11430</v>
      </c>
      <c r="E1084" s="73">
        <f t="shared" ref="E1084:F1084" si="1704">E1095</f>
        <v>26432</v>
      </c>
      <c r="F1084" s="73">
        <f t="shared" si="1704"/>
        <v>36508</v>
      </c>
      <c r="G1084" s="73">
        <f t="shared" si="1700"/>
        <v>21950</v>
      </c>
      <c r="H1084" s="73">
        <f t="shared" si="1700"/>
        <v>36508</v>
      </c>
      <c r="I1084" s="73">
        <f t="shared" si="1700"/>
        <v>53841</v>
      </c>
      <c r="J1084" s="73">
        <f t="shared" si="1700"/>
        <v>53525</v>
      </c>
      <c r="K1084" s="73">
        <f t="shared" ref="K1084:L1084" si="1705">K1095</f>
        <v>29221</v>
      </c>
      <c r="L1084" s="292">
        <f t="shared" si="1705"/>
        <v>26000</v>
      </c>
      <c r="M1084" s="292">
        <f t="shared" ref="M1084:P1084" si="1706">M1095</f>
        <v>5000</v>
      </c>
      <c r="N1084" s="292">
        <f t="shared" si="1706"/>
        <v>8000</v>
      </c>
      <c r="O1084" s="292">
        <f t="shared" si="1706"/>
        <v>6000</v>
      </c>
      <c r="P1084" s="292">
        <f t="shared" si="1706"/>
        <v>7000</v>
      </c>
      <c r="Q1084" s="117">
        <f t="shared" si="1623"/>
        <v>26000</v>
      </c>
      <c r="R1084" s="117">
        <f t="shared" si="1624"/>
        <v>0</v>
      </c>
      <c r="S1084" s="292">
        <f t="shared" si="1700"/>
        <v>25024</v>
      </c>
      <c r="T1084" s="292">
        <f t="shared" si="1700"/>
        <v>24490</v>
      </c>
      <c r="U1084" s="292">
        <f t="shared" si="1700"/>
        <v>26989</v>
      </c>
    </row>
    <row r="1085" spans="1:21" ht="15">
      <c r="A1085" s="34"/>
      <c r="B1085" s="33" t="s">
        <v>567</v>
      </c>
      <c r="C1085" s="12">
        <v>40</v>
      </c>
      <c r="D1085" s="73">
        <f t="shared" ref="D1085:U1085" si="1707">D1098</f>
        <v>0</v>
      </c>
      <c r="E1085" s="73">
        <f t="shared" ref="E1085:F1085" si="1708">E1098</f>
        <v>950</v>
      </c>
      <c r="F1085" s="73">
        <f t="shared" si="1708"/>
        <v>950</v>
      </c>
      <c r="G1085" s="73">
        <f t="shared" si="1707"/>
        <v>950</v>
      </c>
      <c r="H1085" s="73">
        <f t="shared" si="1707"/>
        <v>950</v>
      </c>
      <c r="I1085" s="73">
        <f t="shared" si="1707"/>
        <v>0</v>
      </c>
      <c r="J1085" s="73">
        <f t="shared" si="1707"/>
        <v>0</v>
      </c>
      <c r="K1085" s="73">
        <f t="shared" ref="K1085:L1085" si="1709">K1098</f>
        <v>0</v>
      </c>
      <c r="L1085" s="292">
        <f t="shared" si="1709"/>
        <v>0</v>
      </c>
      <c r="M1085" s="292">
        <f t="shared" ref="M1085:P1085" si="1710">M1098</f>
        <v>0</v>
      </c>
      <c r="N1085" s="292">
        <f t="shared" si="1710"/>
        <v>0</v>
      </c>
      <c r="O1085" s="292">
        <f t="shared" si="1710"/>
        <v>0</v>
      </c>
      <c r="P1085" s="292">
        <f t="shared" si="1710"/>
        <v>0</v>
      </c>
      <c r="Q1085" s="117">
        <f t="shared" si="1623"/>
        <v>0</v>
      </c>
      <c r="R1085" s="117">
        <f t="shared" si="1624"/>
        <v>0</v>
      </c>
      <c r="S1085" s="292">
        <f t="shared" si="1707"/>
        <v>0</v>
      </c>
      <c r="T1085" s="292">
        <f t="shared" si="1707"/>
        <v>0</v>
      </c>
      <c r="U1085" s="292">
        <f t="shared" si="1707"/>
        <v>0</v>
      </c>
    </row>
    <row r="1086" spans="1:21" ht="11.25" customHeight="1">
      <c r="A1086" s="34"/>
      <c r="B1086" s="26" t="s">
        <v>165</v>
      </c>
      <c r="C1086" s="12"/>
      <c r="D1086" s="73">
        <f t="shared" ref="D1086:U1086" si="1711">D1087+D1088+D1089</f>
        <v>9349.5</v>
      </c>
      <c r="E1086" s="73">
        <f t="shared" ref="E1086:F1086" si="1712">E1087+E1088+E1089</f>
        <v>57603.96</v>
      </c>
      <c r="F1086" s="73">
        <f t="shared" si="1712"/>
        <v>96423.040000000008</v>
      </c>
      <c r="G1086" s="73">
        <f t="shared" si="1711"/>
        <v>71227</v>
      </c>
      <c r="H1086" s="73">
        <f t="shared" si="1711"/>
        <v>96423.040000000008</v>
      </c>
      <c r="I1086" s="73">
        <f t="shared" si="1711"/>
        <v>184734</v>
      </c>
      <c r="J1086" s="73">
        <f t="shared" si="1711"/>
        <v>117625</v>
      </c>
      <c r="K1086" s="73">
        <f t="shared" ref="K1086:L1086" si="1713">K1087+K1088+K1089</f>
        <v>79890</v>
      </c>
      <c r="L1086" s="292">
        <f t="shared" si="1713"/>
        <v>95046</v>
      </c>
      <c r="M1086" s="292">
        <f t="shared" ref="M1086:P1086" si="1714">M1087+M1088+M1089</f>
        <v>47107</v>
      </c>
      <c r="N1086" s="292">
        <f t="shared" si="1714"/>
        <v>16630</v>
      </c>
      <c r="O1086" s="292">
        <f t="shared" si="1714"/>
        <v>15656</v>
      </c>
      <c r="P1086" s="292">
        <f t="shared" si="1714"/>
        <v>15653</v>
      </c>
      <c r="Q1086" s="117">
        <f t="shared" si="1623"/>
        <v>95046</v>
      </c>
      <c r="R1086" s="117">
        <f t="shared" si="1624"/>
        <v>0</v>
      </c>
      <c r="S1086" s="292">
        <f t="shared" si="1711"/>
        <v>94394</v>
      </c>
      <c r="T1086" s="292">
        <f t="shared" si="1711"/>
        <v>21821</v>
      </c>
      <c r="U1086" s="292">
        <f t="shared" si="1711"/>
        <v>0</v>
      </c>
    </row>
    <row r="1087" spans="1:21" ht="13.5" hidden="1" customHeight="1">
      <c r="A1087" s="34"/>
      <c r="B1087" s="33" t="s">
        <v>174</v>
      </c>
      <c r="C1087" s="12">
        <v>56</v>
      </c>
      <c r="D1087" s="73">
        <v>0</v>
      </c>
      <c r="E1087" s="197"/>
      <c r="F1087" s="73">
        <v>0</v>
      </c>
      <c r="G1087" s="73">
        <v>0</v>
      </c>
      <c r="H1087" s="73">
        <v>0</v>
      </c>
      <c r="I1087" s="197"/>
      <c r="J1087" s="197"/>
      <c r="K1087" s="197"/>
      <c r="L1087" s="282"/>
      <c r="M1087" s="282"/>
      <c r="N1087" s="282"/>
      <c r="O1087" s="282"/>
      <c r="P1087" s="282"/>
      <c r="Q1087" s="117">
        <f t="shared" si="1623"/>
        <v>0</v>
      </c>
      <c r="R1087" s="117">
        <f t="shared" si="1624"/>
        <v>0</v>
      </c>
      <c r="S1087" s="282"/>
      <c r="T1087" s="282"/>
      <c r="U1087" s="282"/>
    </row>
    <row r="1088" spans="1:21" ht="13.5" customHeight="1">
      <c r="A1088" s="34"/>
      <c r="B1088" s="33" t="s">
        <v>174</v>
      </c>
      <c r="C1088" s="12">
        <v>58</v>
      </c>
      <c r="D1088" s="73">
        <f t="shared" ref="D1088:H1088" si="1715">D1115+D1121</f>
        <v>26.5</v>
      </c>
      <c r="E1088" s="73">
        <f t="shared" ref="E1088:F1088" si="1716">E1115+E1121</f>
        <v>13270.96</v>
      </c>
      <c r="F1088" s="73">
        <f t="shared" si="1716"/>
        <v>40325</v>
      </c>
      <c r="G1088" s="73">
        <f t="shared" si="1715"/>
        <v>40325</v>
      </c>
      <c r="H1088" s="73">
        <f t="shared" si="1715"/>
        <v>40325</v>
      </c>
      <c r="I1088" s="73">
        <f>I1115+I1121+I1127</f>
        <v>83078</v>
      </c>
      <c r="J1088" s="73">
        <f t="shared" ref="J1088:U1088" si="1717">J1115+J1121+J1127</f>
        <v>76457</v>
      </c>
      <c r="K1088" s="73">
        <f>K1115+K1121+K1127</f>
        <v>78521</v>
      </c>
      <c r="L1088" s="292">
        <f t="shared" ref="L1088:M1088" si="1718">L1115+L1121+L1127</f>
        <v>64080</v>
      </c>
      <c r="M1088" s="292">
        <f t="shared" si="1718"/>
        <v>17115</v>
      </c>
      <c r="N1088" s="292">
        <f t="shared" ref="N1088:P1088" si="1719">N1115+N1121+N1127</f>
        <v>15656</v>
      </c>
      <c r="O1088" s="292">
        <f t="shared" si="1719"/>
        <v>15656</v>
      </c>
      <c r="P1088" s="292">
        <f t="shared" si="1719"/>
        <v>15653</v>
      </c>
      <c r="Q1088" s="117">
        <f t="shared" si="1623"/>
        <v>64080</v>
      </c>
      <c r="R1088" s="117">
        <f t="shared" si="1624"/>
        <v>0</v>
      </c>
      <c r="S1088" s="292">
        <f t="shared" si="1717"/>
        <v>86934</v>
      </c>
      <c r="T1088" s="292">
        <f t="shared" si="1717"/>
        <v>21000</v>
      </c>
      <c r="U1088" s="292">
        <f t="shared" si="1717"/>
        <v>0</v>
      </c>
    </row>
    <row r="1089" spans="1:21" ht="15">
      <c r="A1089" s="34"/>
      <c r="B1089" s="33" t="s">
        <v>194</v>
      </c>
      <c r="C1089" s="12">
        <v>70</v>
      </c>
      <c r="D1089" s="73">
        <f t="shared" ref="D1089:U1089" si="1720">D1100</f>
        <v>9323</v>
      </c>
      <c r="E1089" s="73">
        <f t="shared" ref="E1089:F1089" si="1721">E1100</f>
        <v>44333</v>
      </c>
      <c r="F1089" s="73">
        <f t="shared" si="1721"/>
        <v>56098.04</v>
      </c>
      <c r="G1089" s="73">
        <f t="shared" si="1720"/>
        <v>30902</v>
      </c>
      <c r="H1089" s="73">
        <f t="shared" si="1720"/>
        <v>56098.04</v>
      </c>
      <c r="I1089" s="73">
        <f t="shared" si="1720"/>
        <v>101656</v>
      </c>
      <c r="J1089" s="73">
        <f t="shared" si="1720"/>
        <v>41168</v>
      </c>
      <c r="K1089" s="73">
        <f t="shared" ref="K1089:L1089" si="1722">K1100</f>
        <v>1369</v>
      </c>
      <c r="L1089" s="292">
        <f t="shared" si="1722"/>
        <v>30966</v>
      </c>
      <c r="M1089" s="292">
        <f t="shared" ref="M1089:P1089" si="1723">M1100</f>
        <v>29992</v>
      </c>
      <c r="N1089" s="292">
        <f t="shared" si="1723"/>
        <v>974</v>
      </c>
      <c r="O1089" s="292">
        <f t="shared" si="1723"/>
        <v>0</v>
      </c>
      <c r="P1089" s="292">
        <f t="shared" si="1723"/>
        <v>0</v>
      </c>
      <c r="Q1089" s="117">
        <f t="shared" si="1623"/>
        <v>30966</v>
      </c>
      <c r="R1089" s="117">
        <f t="shared" si="1624"/>
        <v>0</v>
      </c>
      <c r="S1089" s="292">
        <f t="shared" si="1720"/>
        <v>7460</v>
      </c>
      <c r="T1089" s="292">
        <f t="shared" si="1720"/>
        <v>821</v>
      </c>
      <c r="U1089" s="292">
        <f t="shared" si="1720"/>
        <v>0</v>
      </c>
    </row>
    <row r="1090" spans="1:21" ht="0.75" customHeight="1">
      <c r="A1090" s="34"/>
      <c r="B1090" s="33" t="s">
        <v>164</v>
      </c>
      <c r="C1090" s="12">
        <v>85.01</v>
      </c>
      <c r="D1090" s="73"/>
      <c r="E1090" s="197"/>
      <c r="F1090" s="73"/>
      <c r="G1090" s="73"/>
      <c r="H1090" s="73"/>
      <c r="I1090" s="197"/>
      <c r="J1090" s="197"/>
      <c r="K1090" s="197"/>
      <c r="L1090" s="282"/>
      <c r="M1090" s="282"/>
      <c r="N1090" s="282"/>
      <c r="O1090" s="282"/>
      <c r="P1090" s="282"/>
      <c r="Q1090" s="117">
        <f t="shared" si="1623"/>
        <v>0</v>
      </c>
      <c r="R1090" s="117">
        <f t="shared" si="1624"/>
        <v>0</v>
      </c>
      <c r="S1090" s="282"/>
      <c r="T1090" s="282"/>
      <c r="U1090" s="282"/>
    </row>
    <row r="1091" spans="1:21" ht="14.25">
      <c r="A1091" s="53" t="s">
        <v>462</v>
      </c>
      <c r="B1091" s="26" t="s">
        <v>408</v>
      </c>
      <c r="C1091" s="12" t="s">
        <v>409</v>
      </c>
      <c r="D1091" s="73">
        <f t="shared" ref="D1091:U1091" si="1724">D1092+D1099</f>
        <v>20753</v>
      </c>
      <c r="E1091" s="73">
        <f t="shared" ref="E1091:F1091" si="1725">E1092+E1099</f>
        <v>71715</v>
      </c>
      <c r="F1091" s="73">
        <f t="shared" si="1725"/>
        <v>93556.040000000008</v>
      </c>
      <c r="G1091" s="73">
        <f t="shared" si="1724"/>
        <v>53802</v>
      </c>
      <c r="H1091" s="73">
        <f t="shared" si="1724"/>
        <v>93556.040000000008</v>
      </c>
      <c r="I1091" s="73">
        <f t="shared" si="1724"/>
        <v>155497</v>
      </c>
      <c r="J1091" s="73">
        <f t="shared" si="1724"/>
        <v>94693</v>
      </c>
      <c r="K1091" s="73">
        <f t="shared" ref="K1091:L1091" si="1726">K1092+K1099</f>
        <v>30590</v>
      </c>
      <c r="L1091" s="292">
        <f t="shared" si="1726"/>
        <v>56966</v>
      </c>
      <c r="M1091" s="292">
        <f t="shared" ref="M1091:P1091" si="1727">M1092+M1099</f>
        <v>34992</v>
      </c>
      <c r="N1091" s="292">
        <f t="shared" si="1727"/>
        <v>8974</v>
      </c>
      <c r="O1091" s="292">
        <f t="shared" si="1727"/>
        <v>6000</v>
      </c>
      <c r="P1091" s="292">
        <f t="shared" si="1727"/>
        <v>7000</v>
      </c>
      <c r="Q1091" s="117">
        <f t="shared" si="1623"/>
        <v>56966</v>
      </c>
      <c r="R1091" s="117">
        <f t="shared" si="1624"/>
        <v>0</v>
      </c>
      <c r="S1091" s="292">
        <f t="shared" si="1724"/>
        <v>32484</v>
      </c>
      <c r="T1091" s="292">
        <f t="shared" si="1724"/>
        <v>25311</v>
      </c>
      <c r="U1091" s="292">
        <f t="shared" si="1724"/>
        <v>26989</v>
      </c>
    </row>
    <row r="1092" spans="1:21" ht="14.25">
      <c r="A1092" s="34"/>
      <c r="B1092" s="24" t="s">
        <v>153</v>
      </c>
      <c r="C1092" s="12"/>
      <c r="D1092" s="73">
        <f t="shared" ref="D1092:U1092" si="1728">D1093</f>
        <v>11430</v>
      </c>
      <c r="E1092" s="73">
        <f t="shared" si="1728"/>
        <v>27382</v>
      </c>
      <c r="F1092" s="73">
        <f t="shared" si="1728"/>
        <v>37458</v>
      </c>
      <c r="G1092" s="73">
        <f t="shared" si="1728"/>
        <v>22900</v>
      </c>
      <c r="H1092" s="73">
        <f t="shared" si="1728"/>
        <v>37458</v>
      </c>
      <c r="I1092" s="73">
        <f t="shared" si="1728"/>
        <v>53841</v>
      </c>
      <c r="J1092" s="73">
        <f t="shared" si="1728"/>
        <v>53525</v>
      </c>
      <c r="K1092" s="73">
        <f t="shared" si="1728"/>
        <v>29221</v>
      </c>
      <c r="L1092" s="292">
        <f t="shared" si="1728"/>
        <v>26000</v>
      </c>
      <c r="M1092" s="292">
        <f t="shared" si="1728"/>
        <v>5000</v>
      </c>
      <c r="N1092" s="292">
        <f t="shared" si="1728"/>
        <v>8000</v>
      </c>
      <c r="O1092" s="292">
        <f t="shared" si="1728"/>
        <v>6000</v>
      </c>
      <c r="P1092" s="292">
        <f t="shared" si="1728"/>
        <v>7000</v>
      </c>
      <c r="Q1092" s="117">
        <f t="shared" si="1623"/>
        <v>26000</v>
      </c>
      <c r="R1092" s="117">
        <f t="shared" si="1624"/>
        <v>0</v>
      </c>
      <c r="S1092" s="292">
        <f t="shared" si="1728"/>
        <v>25024</v>
      </c>
      <c r="T1092" s="292">
        <f t="shared" si="1728"/>
        <v>24490</v>
      </c>
      <c r="U1092" s="292">
        <f t="shared" si="1728"/>
        <v>26989</v>
      </c>
    </row>
    <row r="1093" spans="1:21" ht="14.25" customHeight="1">
      <c r="A1093" s="34"/>
      <c r="B1093" s="33" t="s">
        <v>154</v>
      </c>
      <c r="C1093" s="12">
        <v>1</v>
      </c>
      <c r="D1093" s="69">
        <f t="shared" ref="D1093:U1093" si="1729">D1094+D1095+D1096+D1097+D1098</f>
        <v>11430</v>
      </c>
      <c r="E1093" s="69">
        <f t="shared" ref="E1093:F1093" si="1730">E1094+E1095+E1096+E1097+E1098</f>
        <v>27382</v>
      </c>
      <c r="F1093" s="69">
        <f t="shared" si="1730"/>
        <v>37458</v>
      </c>
      <c r="G1093" s="69">
        <f t="shared" si="1729"/>
        <v>22900</v>
      </c>
      <c r="H1093" s="69">
        <f t="shared" si="1729"/>
        <v>37458</v>
      </c>
      <c r="I1093" s="69">
        <f t="shared" si="1729"/>
        <v>53841</v>
      </c>
      <c r="J1093" s="69">
        <f t="shared" si="1729"/>
        <v>53525</v>
      </c>
      <c r="K1093" s="69">
        <f t="shared" ref="K1093:L1093" si="1731">K1094+K1095+K1096+K1097+K1098</f>
        <v>29221</v>
      </c>
      <c r="L1093" s="283">
        <f t="shared" si="1731"/>
        <v>26000</v>
      </c>
      <c r="M1093" s="283">
        <f t="shared" ref="M1093:P1093" si="1732">M1094+M1095+M1096+M1097+M1098</f>
        <v>5000</v>
      </c>
      <c r="N1093" s="283">
        <f t="shared" si="1732"/>
        <v>8000</v>
      </c>
      <c r="O1093" s="283">
        <f t="shared" si="1732"/>
        <v>6000</v>
      </c>
      <c r="P1093" s="283">
        <f t="shared" si="1732"/>
        <v>7000</v>
      </c>
      <c r="Q1093" s="117">
        <f t="shared" si="1623"/>
        <v>26000</v>
      </c>
      <c r="R1093" s="117">
        <f t="shared" si="1624"/>
        <v>0</v>
      </c>
      <c r="S1093" s="283">
        <f t="shared" si="1729"/>
        <v>25024</v>
      </c>
      <c r="T1093" s="283">
        <f t="shared" si="1729"/>
        <v>24490</v>
      </c>
      <c r="U1093" s="283">
        <f t="shared" si="1729"/>
        <v>26989</v>
      </c>
    </row>
    <row r="1094" spans="1:21" ht="16.5" hidden="1" customHeight="1">
      <c r="A1094" s="34"/>
      <c r="B1094" s="33" t="s">
        <v>155</v>
      </c>
      <c r="C1094" s="12">
        <v>10</v>
      </c>
      <c r="D1094" s="68"/>
      <c r="E1094" s="197"/>
      <c r="F1094" s="68"/>
      <c r="G1094" s="68"/>
      <c r="H1094" s="68"/>
      <c r="I1094" s="197"/>
      <c r="J1094" s="197"/>
      <c r="K1094" s="197"/>
      <c r="L1094" s="282"/>
      <c r="M1094" s="282"/>
      <c r="N1094" s="282"/>
      <c r="O1094" s="282"/>
      <c r="P1094" s="282"/>
      <c r="Q1094" s="117">
        <f t="shared" si="1623"/>
        <v>0</v>
      </c>
      <c r="R1094" s="117">
        <f t="shared" si="1624"/>
        <v>0</v>
      </c>
      <c r="S1094" s="282"/>
      <c r="T1094" s="282"/>
      <c r="U1094" s="282"/>
    </row>
    <row r="1095" spans="1:21" ht="13.5" customHeight="1">
      <c r="A1095" s="34"/>
      <c r="B1095" s="33" t="s">
        <v>588</v>
      </c>
      <c r="C1095" s="12">
        <v>20</v>
      </c>
      <c r="D1095" s="68">
        <v>11430</v>
      </c>
      <c r="E1095" s="197">
        <v>26432</v>
      </c>
      <c r="F1095" s="66">
        <v>36508</v>
      </c>
      <c r="G1095" s="66">
        <f>20000+2000-50</f>
        <v>21950</v>
      </c>
      <c r="H1095" s="66">
        <v>36508</v>
      </c>
      <c r="I1095" s="197">
        <v>53841</v>
      </c>
      <c r="J1095" s="197">
        <f>53841-316</f>
        <v>53525</v>
      </c>
      <c r="K1095" s="197">
        <v>29221</v>
      </c>
      <c r="L1095" s="282">
        <f>23000+3000</f>
        <v>26000</v>
      </c>
      <c r="M1095" s="282">
        <f>3940+1060</f>
        <v>5000</v>
      </c>
      <c r="N1095" s="282">
        <f>7240+735+25</f>
        <v>8000</v>
      </c>
      <c r="O1095" s="282">
        <f>5000+835+1165-1000</f>
        <v>6000</v>
      </c>
      <c r="P1095" s="282">
        <f>1896+785+3319+1000</f>
        <v>7000</v>
      </c>
      <c r="Q1095" s="117">
        <f t="shared" si="1623"/>
        <v>26000</v>
      </c>
      <c r="R1095" s="117">
        <f t="shared" si="1624"/>
        <v>0</v>
      </c>
      <c r="S1095" s="282">
        <f>20000+340+4684</f>
        <v>25024</v>
      </c>
      <c r="T1095" s="282">
        <f>20000-10+4500</f>
        <v>24490</v>
      </c>
      <c r="U1095" s="282">
        <f>20000+6589+400</f>
        <v>26989</v>
      </c>
    </row>
    <row r="1096" spans="1:21" ht="13.5" hidden="1" customHeight="1">
      <c r="A1096" s="34"/>
      <c r="B1096" s="33" t="s">
        <v>476</v>
      </c>
      <c r="C1096" s="12">
        <v>59</v>
      </c>
      <c r="D1096" s="68"/>
      <c r="E1096" s="197"/>
      <c r="F1096" s="68"/>
      <c r="G1096" s="68"/>
      <c r="H1096" s="68"/>
      <c r="I1096" s="197"/>
      <c r="J1096" s="197"/>
      <c r="K1096" s="197"/>
      <c r="L1096" s="282"/>
      <c r="M1096" s="282"/>
      <c r="N1096" s="282"/>
      <c r="O1096" s="282"/>
      <c r="P1096" s="282"/>
      <c r="Q1096" s="117">
        <f t="shared" si="1623"/>
        <v>0</v>
      </c>
      <c r="R1096" s="117">
        <f t="shared" si="1624"/>
        <v>0</v>
      </c>
      <c r="S1096" s="282"/>
      <c r="T1096" s="282"/>
      <c r="U1096" s="282"/>
    </row>
    <row r="1097" spans="1:21" ht="13.5" hidden="1" customHeight="1">
      <c r="A1097" s="34"/>
      <c r="B1097" s="33" t="s">
        <v>164</v>
      </c>
      <c r="C1097" s="12">
        <v>85</v>
      </c>
      <c r="D1097" s="68"/>
      <c r="E1097" s="197"/>
      <c r="F1097" s="68"/>
      <c r="G1097" s="68"/>
      <c r="H1097" s="68"/>
      <c r="I1097" s="197"/>
      <c r="J1097" s="197"/>
      <c r="K1097" s="197"/>
      <c r="L1097" s="282"/>
      <c r="M1097" s="282"/>
      <c r="N1097" s="282"/>
      <c r="O1097" s="282"/>
      <c r="P1097" s="282"/>
      <c r="Q1097" s="117">
        <f t="shared" si="1623"/>
        <v>0</v>
      </c>
      <c r="R1097" s="117">
        <f t="shared" si="1624"/>
        <v>0</v>
      </c>
      <c r="S1097" s="282"/>
      <c r="T1097" s="282"/>
      <c r="U1097" s="282"/>
    </row>
    <row r="1098" spans="1:21" ht="13.5" hidden="1" customHeight="1">
      <c r="A1098" s="34"/>
      <c r="B1098" s="33" t="s">
        <v>567</v>
      </c>
      <c r="C1098" s="12">
        <v>40.299999999999997</v>
      </c>
      <c r="D1098" s="68"/>
      <c r="E1098" s="197">
        <v>950</v>
      </c>
      <c r="F1098" s="68">
        <v>950</v>
      </c>
      <c r="G1098" s="68">
        <f>950</f>
        <v>950</v>
      </c>
      <c r="H1098" s="68">
        <v>950</v>
      </c>
      <c r="I1098" s="197"/>
      <c r="J1098" s="197"/>
      <c r="K1098" s="197"/>
      <c r="L1098" s="282"/>
      <c r="M1098" s="282"/>
      <c r="N1098" s="282"/>
      <c r="O1098" s="282"/>
      <c r="P1098" s="282"/>
      <c r="Q1098" s="117">
        <f t="shared" si="1623"/>
        <v>0</v>
      </c>
      <c r="R1098" s="117">
        <f t="shared" si="1624"/>
        <v>0</v>
      </c>
      <c r="S1098" s="282"/>
      <c r="T1098" s="282"/>
      <c r="U1098" s="282"/>
    </row>
    <row r="1099" spans="1:21" ht="15" customHeight="1">
      <c r="A1099" s="34"/>
      <c r="B1099" s="26" t="s">
        <v>165</v>
      </c>
      <c r="C1099" s="84"/>
      <c r="D1099" s="73">
        <f t="shared" ref="D1099:U1099" si="1733">D1100</f>
        <v>9323</v>
      </c>
      <c r="E1099" s="73">
        <f t="shared" si="1733"/>
        <v>44333</v>
      </c>
      <c r="F1099" s="73">
        <f t="shared" si="1733"/>
        <v>56098.04</v>
      </c>
      <c r="G1099" s="73">
        <f t="shared" si="1733"/>
        <v>30902</v>
      </c>
      <c r="H1099" s="73">
        <f t="shared" si="1733"/>
        <v>56098.04</v>
      </c>
      <c r="I1099" s="73">
        <f t="shared" si="1733"/>
        <v>101656</v>
      </c>
      <c r="J1099" s="73">
        <f t="shared" si="1733"/>
        <v>41168</v>
      </c>
      <c r="K1099" s="73">
        <f t="shared" si="1733"/>
        <v>1369</v>
      </c>
      <c r="L1099" s="292">
        <f t="shared" si="1733"/>
        <v>30966</v>
      </c>
      <c r="M1099" s="292">
        <f t="shared" si="1733"/>
        <v>29992</v>
      </c>
      <c r="N1099" s="292">
        <f t="shared" si="1733"/>
        <v>974</v>
      </c>
      <c r="O1099" s="292">
        <f t="shared" si="1733"/>
        <v>0</v>
      </c>
      <c r="P1099" s="292">
        <f t="shared" si="1733"/>
        <v>0</v>
      </c>
      <c r="Q1099" s="117">
        <f t="shared" si="1623"/>
        <v>30966</v>
      </c>
      <c r="R1099" s="117">
        <f t="shared" si="1624"/>
        <v>0</v>
      </c>
      <c r="S1099" s="292">
        <f t="shared" si="1733"/>
        <v>7460</v>
      </c>
      <c r="T1099" s="292">
        <f t="shared" si="1733"/>
        <v>821</v>
      </c>
      <c r="U1099" s="292">
        <f t="shared" si="1733"/>
        <v>0</v>
      </c>
    </row>
    <row r="1100" spans="1:21" ht="15" customHeight="1">
      <c r="A1100" s="34"/>
      <c r="B1100" s="33" t="s">
        <v>465</v>
      </c>
      <c r="C1100" s="12">
        <v>70</v>
      </c>
      <c r="D1100" s="66">
        <f t="shared" ref="D1100:U1100" si="1734">D1101+D1102+D1103+D1104</f>
        <v>9323</v>
      </c>
      <c r="E1100" s="66">
        <v>44333</v>
      </c>
      <c r="F1100" s="66">
        <f t="shared" ref="F1100" si="1735">F1101+F1102+F1103+F1104</f>
        <v>56098.04</v>
      </c>
      <c r="G1100" s="66">
        <f t="shared" si="1734"/>
        <v>30902</v>
      </c>
      <c r="H1100" s="66">
        <f t="shared" si="1734"/>
        <v>56098.04</v>
      </c>
      <c r="I1100" s="66">
        <f t="shared" si="1734"/>
        <v>101656</v>
      </c>
      <c r="J1100" s="66">
        <f t="shared" si="1734"/>
        <v>41168</v>
      </c>
      <c r="K1100" s="66">
        <f t="shared" ref="K1100:L1100" si="1736">K1101+K1102+K1103+K1104</f>
        <v>1369</v>
      </c>
      <c r="L1100" s="288">
        <f t="shared" si="1736"/>
        <v>30966</v>
      </c>
      <c r="M1100" s="288">
        <f t="shared" ref="M1100:P1100" si="1737">M1101+M1102+M1103+M1104</f>
        <v>29992</v>
      </c>
      <c r="N1100" s="288">
        <f t="shared" si="1737"/>
        <v>974</v>
      </c>
      <c r="O1100" s="288">
        <f t="shared" si="1737"/>
        <v>0</v>
      </c>
      <c r="P1100" s="288">
        <f t="shared" si="1737"/>
        <v>0</v>
      </c>
      <c r="Q1100" s="117">
        <f t="shared" si="1623"/>
        <v>30966</v>
      </c>
      <c r="R1100" s="117">
        <f t="shared" si="1624"/>
        <v>0</v>
      </c>
      <c r="S1100" s="288">
        <f t="shared" si="1734"/>
        <v>7460</v>
      </c>
      <c r="T1100" s="288">
        <f t="shared" si="1734"/>
        <v>821</v>
      </c>
      <c r="U1100" s="288">
        <f t="shared" si="1734"/>
        <v>0</v>
      </c>
    </row>
    <row r="1101" spans="1:21" ht="15" customHeight="1">
      <c r="A1101" s="34"/>
      <c r="B1101" s="33" t="s">
        <v>528</v>
      </c>
      <c r="C1101" s="12"/>
      <c r="D1101" s="68">
        <v>9323</v>
      </c>
      <c r="E1101" s="66">
        <f t="shared" ref="E1101" si="1738">E1110+E1112+E1111</f>
        <v>0</v>
      </c>
      <c r="F1101" s="66">
        <f>F1110+F1112+F1111</f>
        <v>56098.04</v>
      </c>
      <c r="G1101" s="66">
        <f>G1110+G1112+G1111</f>
        <v>30902</v>
      </c>
      <c r="H1101" s="66">
        <f>H1110+H1112+H1111</f>
        <v>56098.04</v>
      </c>
      <c r="I1101" s="66">
        <f>I1110+I1112+I1111</f>
        <v>101656</v>
      </c>
      <c r="J1101" s="66">
        <f t="shared" ref="J1101:U1101" si="1739">J1110+J1112+J1111</f>
        <v>41168</v>
      </c>
      <c r="K1101" s="66">
        <f>K1110+K1112+K1111</f>
        <v>1369</v>
      </c>
      <c r="L1101" s="288">
        <f t="shared" ref="L1101:M1101" si="1740">L1110+L1112+L1111</f>
        <v>30966</v>
      </c>
      <c r="M1101" s="288">
        <f t="shared" si="1740"/>
        <v>29992</v>
      </c>
      <c r="N1101" s="288">
        <f t="shared" ref="N1101:P1101" si="1741">N1110+N1112+N1111</f>
        <v>974</v>
      </c>
      <c r="O1101" s="288">
        <f t="shared" si="1741"/>
        <v>0</v>
      </c>
      <c r="P1101" s="288">
        <f t="shared" si="1741"/>
        <v>0</v>
      </c>
      <c r="Q1101" s="117">
        <f t="shared" ref="Q1101:Q1136" si="1742">M1101+N1101+O1101+P1101</f>
        <v>30966</v>
      </c>
      <c r="R1101" s="117">
        <f t="shared" ref="R1101:R1136" si="1743">L1101-Q1101</f>
        <v>0</v>
      </c>
      <c r="S1101" s="288">
        <f t="shared" si="1739"/>
        <v>7460</v>
      </c>
      <c r="T1101" s="288">
        <f t="shared" si="1739"/>
        <v>821</v>
      </c>
      <c r="U1101" s="288">
        <f t="shared" si="1739"/>
        <v>0</v>
      </c>
    </row>
    <row r="1102" spans="1:21" ht="15" hidden="1" customHeight="1">
      <c r="A1102" s="34"/>
      <c r="B1102" s="33" t="s">
        <v>483</v>
      </c>
      <c r="C1102" s="12"/>
      <c r="D1102" s="68"/>
      <c r="E1102" s="197"/>
      <c r="F1102" s="68"/>
      <c r="G1102" s="68"/>
      <c r="H1102" s="68"/>
      <c r="I1102" s="197"/>
      <c r="J1102" s="197"/>
      <c r="K1102" s="197"/>
      <c r="L1102" s="282"/>
      <c r="M1102" s="282"/>
      <c r="N1102" s="282"/>
      <c r="O1102" s="282"/>
      <c r="P1102" s="282"/>
      <c r="Q1102" s="117">
        <f t="shared" si="1742"/>
        <v>0</v>
      </c>
      <c r="R1102" s="117">
        <f t="shared" si="1743"/>
        <v>0</v>
      </c>
      <c r="S1102" s="282"/>
      <c r="T1102" s="282"/>
      <c r="U1102" s="282"/>
    </row>
    <row r="1103" spans="1:21" ht="15" hidden="1" customHeight="1">
      <c r="A1103" s="34"/>
      <c r="B1103" s="33" t="s">
        <v>484</v>
      </c>
      <c r="C1103" s="12"/>
      <c r="D1103" s="68"/>
      <c r="E1103" s="197"/>
      <c r="F1103" s="68"/>
      <c r="G1103" s="68"/>
      <c r="H1103" s="68"/>
      <c r="I1103" s="197"/>
      <c r="J1103" s="197"/>
      <c r="K1103" s="197"/>
      <c r="L1103" s="282"/>
      <c r="M1103" s="282"/>
      <c r="N1103" s="282"/>
      <c r="O1103" s="282"/>
      <c r="P1103" s="282"/>
      <c r="Q1103" s="117">
        <f t="shared" si="1742"/>
        <v>0</v>
      </c>
      <c r="R1103" s="117">
        <f t="shared" si="1743"/>
        <v>0</v>
      </c>
      <c r="S1103" s="282"/>
      <c r="T1103" s="282"/>
      <c r="U1103" s="282"/>
    </row>
    <row r="1104" spans="1:21" ht="15" hidden="1" customHeight="1">
      <c r="A1104" s="34"/>
      <c r="B1104" s="33" t="s">
        <v>485</v>
      </c>
      <c r="C1104" s="12"/>
      <c r="D1104" s="68"/>
      <c r="E1104" s="197"/>
      <c r="F1104" s="68"/>
      <c r="G1104" s="68"/>
      <c r="H1104" s="68"/>
      <c r="I1104" s="197"/>
      <c r="J1104" s="197"/>
      <c r="K1104" s="197"/>
      <c r="L1104" s="282"/>
      <c r="M1104" s="282"/>
      <c r="N1104" s="282"/>
      <c r="O1104" s="282"/>
      <c r="P1104" s="282"/>
      <c r="Q1104" s="117">
        <f t="shared" si="1742"/>
        <v>0</v>
      </c>
      <c r="R1104" s="117">
        <f t="shared" si="1743"/>
        <v>0</v>
      </c>
      <c r="S1104" s="282"/>
      <c r="T1104" s="282"/>
      <c r="U1104" s="282"/>
    </row>
    <row r="1105" spans="1:25" ht="21" hidden="1" customHeight="1">
      <c r="A1105" s="34"/>
      <c r="B1105" s="32"/>
      <c r="C1105" s="12"/>
      <c r="D1105" s="68"/>
      <c r="E1105" s="197"/>
      <c r="F1105" s="68"/>
      <c r="G1105" s="68"/>
      <c r="H1105" s="68"/>
      <c r="I1105" s="197"/>
      <c r="J1105" s="197"/>
      <c r="K1105" s="197"/>
      <c r="L1105" s="282"/>
      <c r="M1105" s="282"/>
      <c r="N1105" s="282"/>
      <c r="O1105" s="282"/>
      <c r="P1105" s="282"/>
      <c r="Q1105" s="117">
        <f t="shared" si="1742"/>
        <v>0</v>
      </c>
      <c r="R1105" s="117">
        <f t="shared" si="1743"/>
        <v>0</v>
      </c>
      <c r="S1105" s="282"/>
      <c r="T1105" s="282"/>
      <c r="U1105" s="282"/>
    </row>
    <row r="1106" spans="1:25" ht="23.25" hidden="1" customHeight="1">
      <c r="A1106" s="34"/>
      <c r="B1106" s="47"/>
      <c r="C1106" s="12"/>
      <c r="D1106" s="68"/>
      <c r="E1106" s="197"/>
      <c r="F1106" s="68"/>
      <c r="G1106" s="68"/>
      <c r="H1106" s="68"/>
      <c r="I1106" s="197"/>
      <c r="J1106" s="197"/>
      <c r="K1106" s="197"/>
      <c r="L1106" s="282"/>
      <c r="M1106" s="282"/>
      <c r="N1106" s="282"/>
      <c r="O1106" s="282"/>
      <c r="P1106" s="282"/>
      <c r="Q1106" s="117">
        <f t="shared" si="1742"/>
        <v>0</v>
      </c>
      <c r="R1106" s="117">
        <f t="shared" si="1743"/>
        <v>0</v>
      </c>
      <c r="S1106" s="282"/>
      <c r="T1106" s="282"/>
      <c r="U1106" s="282"/>
    </row>
    <row r="1107" spans="1:25" ht="17.25" hidden="1" customHeight="1">
      <c r="A1107" s="34"/>
      <c r="B1107" s="47"/>
      <c r="C1107" s="12"/>
      <c r="D1107" s="68"/>
      <c r="E1107" s="197"/>
      <c r="F1107" s="68"/>
      <c r="G1107" s="68"/>
      <c r="H1107" s="68"/>
      <c r="I1107" s="197"/>
      <c r="J1107" s="197"/>
      <c r="K1107" s="197"/>
      <c r="L1107" s="282"/>
      <c r="M1107" s="282"/>
      <c r="N1107" s="282"/>
      <c r="O1107" s="282"/>
      <c r="P1107" s="282"/>
      <c r="Q1107" s="117">
        <f t="shared" si="1742"/>
        <v>0</v>
      </c>
      <c r="R1107" s="117">
        <f t="shared" si="1743"/>
        <v>0</v>
      </c>
      <c r="S1107" s="282"/>
      <c r="T1107" s="282"/>
      <c r="U1107" s="282"/>
    </row>
    <row r="1108" spans="1:25" ht="21" hidden="1" customHeight="1">
      <c r="A1108" s="34"/>
      <c r="B1108" s="32"/>
      <c r="C1108" s="12"/>
      <c r="D1108" s="68"/>
      <c r="E1108" s="197"/>
      <c r="F1108" s="68"/>
      <c r="G1108" s="68"/>
      <c r="H1108" s="68"/>
      <c r="I1108" s="197"/>
      <c r="J1108" s="197"/>
      <c r="K1108" s="197"/>
      <c r="L1108" s="282"/>
      <c r="M1108" s="282"/>
      <c r="N1108" s="282"/>
      <c r="O1108" s="282"/>
      <c r="P1108" s="282"/>
      <c r="Q1108" s="117">
        <f t="shared" si="1742"/>
        <v>0</v>
      </c>
      <c r="R1108" s="117">
        <f t="shared" si="1743"/>
        <v>0</v>
      </c>
      <c r="S1108" s="282"/>
      <c r="T1108" s="282"/>
      <c r="U1108" s="282"/>
    </row>
    <row r="1109" spans="1:25" ht="24" hidden="1" customHeight="1">
      <c r="A1109" s="21"/>
      <c r="B1109" s="34" t="s">
        <v>410</v>
      </c>
      <c r="C1109" s="84">
        <v>70</v>
      </c>
      <c r="D1109" s="66"/>
      <c r="E1109" s="197"/>
      <c r="F1109" s="66"/>
      <c r="G1109" s="66"/>
      <c r="H1109" s="66"/>
      <c r="I1109" s="197"/>
      <c r="J1109" s="197"/>
      <c r="K1109" s="197"/>
      <c r="L1109" s="282"/>
      <c r="M1109" s="282"/>
      <c r="N1109" s="282"/>
      <c r="O1109" s="282"/>
      <c r="P1109" s="282"/>
      <c r="Q1109" s="117">
        <f t="shared" si="1742"/>
        <v>0</v>
      </c>
      <c r="R1109" s="117">
        <f t="shared" si="1743"/>
        <v>0</v>
      </c>
      <c r="S1109" s="282"/>
      <c r="T1109" s="282"/>
      <c r="U1109" s="282"/>
    </row>
    <row r="1110" spans="1:25" ht="18.75" customHeight="1">
      <c r="A1110" s="21"/>
      <c r="B1110" s="34" t="s">
        <v>609</v>
      </c>
      <c r="C1110" s="84"/>
      <c r="D1110" s="157"/>
      <c r="E1110" s="197"/>
      <c r="F1110" s="66">
        <v>15767.84</v>
      </c>
      <c r="G1110" s="66">
        <v>5154</v>
      </c>
      <c r="H1110" s="66">
        <v>15767.84</v>
      </c>
      <c r="I1110" s="197">
        <f>9778-1000</f>
        <v>8778</v>
      </c>
      <c r="J1110" s="213">
        <f>9778-1000</f>
        <v>8778</v>
      </c>
      <c r="K1110" s="197"/>
      <c r="L1110" s="282">
        <f>2600+3200</f>
        <v>5800</v>
      </c>
      <c r="M1110" s="282">
        <v>5800</v>
      </c>
      <c r="N1110" s="282"/>
      <c r="O1110" s="282"/>
      <c r="P1110" s="282"/>
      <c r="Q1110" s="117">
        <f t="shared" si="1742"/>
        <v>5800</v>
      </c>
      <c r="R1110" s="117">
        <f t="shared" si="1743"/>
        <v>0</v>
      </c>
      <c r="S1110" s="302">
        <v>1600</v>
      </c>
      <c r="T1110" s="302">
        <v>821</v>
      </c>
      <c r="U1110" s="302"/>
      <c r="X1110" s="208"/>
    </row>
    <row r="1111" spans="1:25" ht="16.5" customHeight="1">
      <c r="A1111" s="21"/>
      <c r="B1111" s="34" t="s">
        <v>569</v>
      </c>
      <c r="C1111" s="84"/>
      <c r="D1111" s="157"/>
      <c r="E1111" s="197"/>
      <c r="F1111" s="66">
        <v>15000</v>
      </c>
      <c r="G1111" s="66">
        <v>15000</v>
      </c>
      <c r="H1111" s="66">
        <v>15000</v>
      </c>
      <c r="I1111" s="209">
        <f>33974-20000</f>
        <v>13974</v>
      </c>
      <c r="J1111" s="197">
        <v>13974</v>
      </c>
      <c r="K1111" s="209"/>
      <c r="L1111" s="282">
        <v>13974</v>
      </c>
      <c r="M1111" s="282">
        <v>13000</v>
      </c>
      <c r="N1111" s="282">
        <v>974</v>
      </c>
      <c r="O1111" s="282"/>
      <c r="P1111" s="282"/>
      <c r="Q1111" s="117">
        <f t="shared" si="1742"/>
        <v>13974</v>
      </c>
      <c r="R1111" s="117">
        <f t="shared" si="1743"/>
        <v>0</v>
      </c>
      <c r="S1111" s="282">
        <f>61823-55963</f>
        <v>5860</v>
      </c>
      <c r="T1111" s="282"/>
      <c r="U1111" s="282"/>
      <c r="X1111" s="208"/>
    </row>
    <row r="1112" spans="1:25" ht="16.5" customHeight="1">
      <c r="A1112" s="21"/>
      <c r="B1112" s="34" t="s">
        <v>568</v>
      </c>
      <c r="C1112" s="84"/>
      <c r="D1112" s="157"/>
      <c r="E1112" s="199"/>
      <c r="F1112" s="66">
        <v>25330.2</v>
      </c>
      <c r="G1112" s="66">
        <f>10700+48</f>
        <v>10748</v>
      </c>
      <c r="H1112" s="66">
        <v>25330.2</v>
      </c>
      <c r="I1112" s="197">
        <f>15000+1413+1014+26360+33400+212+1510-5</f>
        <v>78904</v>
      </c>
      <c r="J1112" s="199">
        <f>15000+1413+1014+26360+33400+212+1510-25000-35000+2000+695-3188</f>
        <v>18416</v>
      </c>
      <c r="K1112" s="197">
        <f>1369</f>
        <v>1369</v>
      </c>
      <c r="L1112" s="282">
        <f>10392-3200+4000</f>
        <v>11192</v>
      </c>
      <c r="M1112" s="282">
        <f>7192+4000</f>
        <v>11192</v>
      </c>
      <c r="N1112" s="282"/>
      <c r="O1112" s="282"/>
      <c r="P1112" s="282"/>
      <c r="Q1112" s="117">
        <f t="shared" si="1742"/>
        <v>11192</v>
      </c>
      <c r="R1112" s="117">
        <f t="shared" si="1743"/>
        <v>0</v>
      </c>
      <c r="S1112" s="303"/>
      <c r="T1112" s="303"/>
      <c r="U1112" s="303"/>
      <c r="X1112" s="208"/>
    </row>
    <row r="1113" spans="1:25" ht="69" customHeight="1">
      <c r="A1113" s="21" t="s">
        <v>463</v>
      </c>
      <c r="B1113" s="58" t="s">
        <v>423</v>
      </c>
      <c r="C1113" s="99">
        <f>C1114</f>
        <v>58</v>
      </c>
      <c r="D1113" s="124">
        <f t="shared" ref="D1113:U1114" si="1744">D1114</f>
        <v>23.8</v>
      </c>
      <c r="E1113" s="149">
        <f t="shared" si="1744"/>
        <v>13226.16</v>
      </c>
      <c r="F1113" s="149">
        <f t="shared" si="1744"/>
        <v>20155</v>
      </c>
      <c r="G1113" s="149">
        <f t="shared" si="1744"/>
        <v>20155</v>
      </c>
      <c r="H1113" s="149">
        <f t="shared" si="1744"/>
        <v>20155</v>
      </c>
      <c r="I1113" s="149">
        <f t="shared" si="1744"/>
        <v>45000</v>
      </c>
      <c r="J1113" s="149">
        <f t="shared" si="1744"/>
        <v>41254</v>
      </c>
      <c r="K1113" s="149">
        <f t="shared" si="1744"/>
        <v>45000</v>
      </c>
      <c r="L1113" s="149">
        <f t="shared" si="1744"/>
        <v>40559</v>
      </c>
      <c r="M1113" s="149">
        <f t="shared" si="1744"/>
        <v>10839</v>
      </c>
      <c r="N1113" s="149">
        <f t="shared" si="1744"/>
        <v>9907</v>
      </c>
      <c r="O1113" s="149">
        <f t="shared" si="1744"/>
        <v>9907</v>
      </c>
      <c r="P1113" s="149">
        <f t="shared" si="1744"/>
        <v>9906</v>
      </c>
      <c r="Q1113" s="117">
        <f t="shared" si="1742"/>
        <v>40559</v>
      </c>
      <c r="R1113" s="117">
        <f t="shared" si="1743"/>
        <v>0</v>
      </c>
      <c r="S1113" s="149">
        <f t="shared" si="1744"/>
        <v>31934</v>
      </c>
      <c r="T1113" s="149">
        <f t="shared" si="1744"/>
        <v>0</v>
      </c>
      <c r="U1113" s="149">
        <f t="shared" si="1744"/>
        <v>0</v>
      </c>
    </row>
    <row r="1114" spans="1:25" ht="15.75" customHeight="1">
      <c r="A1114" s="21"/>
      <c r="B1114" s="33" t="s">
        <v>165</v>
      </c>
      <c r="C1114" s="84">
        <f>C1115</f>
        <v>58</v>
      </c>
      <c r="D1114" s="125">
        <f t="shared" si="1744"/>
        <v>23.8</v>
      </c>
      <c r="E1114" s="168">
        <f t="shared" si="1744"/>
        <v>13226.16</v>
      </c>
      <c r="F1114" s="168">
        <f t="shared" si="1744"/>
        <v>20155</v>
      </c>
      <c r="G1114" s="168">
        <f t="shared" si="1744"/>
        <v>20155</v>
      </c>
      <c r="H1114" s="168">
        <f t="shared" si="1744"/>
        <v>20155</v>
      </c>
      <c r="I1114" s="168">
        <f t="shared" si="1744"/>
        <v>45000</v>
      </c>
      <c r="J1114" s="168">
        <f t="shared" si="1744"/>
        <v>41254</v>
      </c>
      <c r="K1114" s="168">
        <f t="shared" si="1744"/>
        <v>45000</v>
      </c>
      <c r="L1114" s="168">
        <f t="shared" si="1744"/>
        <v>40559</v>
      </c>
      <c r="M1114" s="168">
        <f t="shared" si="1744"/>
        <v>10839</v>
      </c>
      <c r="N1114" s="168">
        <f t="shared" si="1744"/>
        <v>9907</v>
      </c>
      <c r="O1114" s="168">
        <f t="shared" si="1744"/>
        <v>9907</v>
      </c>
      <c r="P1114" s="168">
        <f t="shared" si="1744"/>
        <v>9906</v>
      </c>
      <c r="Q1114" s="117">
        <f t="shared" si="1742"/>
        <v>40559</v>
      </c>
      <c r="R1114" s="117">
        <f t="shared" si="1743"/>
        <v>0</v>
      </c>
      <c r="S1114" s="168">
        <f t="shared" si="1744"/>
        <v>31934</v>
      </c>
      <c r="T1114" s="168">
        <f t="shared" si="1744"/>
        <v>0</v>
      </c>
      <c r="U1114" s="168">
        <f t="shared" si="1744"/>
        <v>0</v>
      </c>
    </row>
    <row r="1115" spans="1:25" ht="21" customHeight="1">
      <c r="A1115" s="21"/>
      <c r="B1115" s="33" t="s">
        <v>174</v>
      </c>
      <c r="C1115" s="12">
        <v>58</v>
      </c>
      <c r="D1115" s="66">
        <f t="shared" ref="D1115:U1115" si="1745">D1116+D1117+D1118</f>
        <v>23.8</v>
      </c>
      <c r="E1115" s="66">
        <f t="shared" ref="E1115:F1115" si="1746">E1116+E1117+E1118</f>
        <v>13226.16</v>
      </c>
      <c r="F1115" s="66">
        <f t="shared" si="1746"/>
        <v>20155</v>
      </c>
      <c r="G1115" s="66">
        <f t="shared" si="1745"/>
        <v>20155</v>
      </c>
      <c r="H1115" s="66">
        <f t="shared" si="1745"/>
        <v>20155</v>
      </c>
      <c r="I1115" s="66">
        <f t="shared" si="1745"/>
        <v>45000</v>
      </c>
      <c r="J1115" s="66">
        <f t="shared" si="1745"/>
        <v>41254</v>
      </c>
      <c r="K1115" s="66">
        <f t="shared" ref="K1115:L1115" si="1747">K1116+K1117+K1118</f>
        <v>45000</v>
      </c>
      <c r="L1115" s="288">
        <f t="shared" si="1747"/>
        <v>40559</v>
      </c>
      <c r="M1115" s="288">
        <f t="shared" ref="M1115:P1115" si="1748">M1116+M1117+M1118</f>
        <v>10839</v>
      </c>
      <c r="N1115" s="288">
        <f t="shared" si="1748"/>
        <v>9907</v>
      </c>
      <c r="O1115" s="288">
        <f t="shared" si="1748"/>
        <v>9907</v>
      </c>
      <c r="P1115" s="288">
        <f t="shared" si="1748"/>
        <v>9906</v>
      </c>
      <c r="Q1115" s="117">
        <f t="shared" si="1742"/>
        <v>40559</v>
      </c>
      <c r="R1115" s="117">
        <f t="shared" si="1743"/>
        <v>0</v>
      </c>
      <c r="S1115" s="288">
        <f t="shared" si="1745"/>
        <v>31934</v>
      </c>
      <c r="T1115" s="288">
        <f t="shared" si="1745"/>
        <v>0</v>
      </c>
      <c r="U1115" s="288">
        <f t="shared" si="1745"/>
        <v>0</v>
      </c>
    </row>
    <row r="1116" spans="1:25" ht="18.75" customHeight="1">
      <c r="A1116" s="21"/>
      <c r="B1116" s="33" t="s">
        <v>534</v>
      </c>
      <c r="C1116" s="12" t="s">
        <v>478</v>
      </c>
      <c r="D1116" s="66">
        <v>2.8</v>
      </c>
      <c r="E1116" s="197">
        <v>1719.4</v>
      </c>
      <c r="F1116" s="66">
        <v>2343</v>
      </c>
      <c r="G1116" s="66">
        <v>2343</v>
      </c>
      <c r="H1116" s="66">
        <v>2343</v>
      </c>
      <c r="I1116" s="197">
        <v>5407</v>
      </c>
      <c r="J1116" s="197">
        <v>5407</v>
      </c>
      <c r="K1116" s="197">
        <v>5407</v>
      </c>
      <c r="L1116" s="282">
        <v>5257</v>
      </c>
      <c r="M1116" s="282">
        <v>1314</v>
      </c>
      <c r="N1116" s="282">
        <v>1314</v>
      </c>
      <c r="O1116" s="282">
        <v>1314</v>
      </c>
      <c r="P1116" s="282">
        <v>1315</v>
      </c>
      <c r="Q1116" s="117">
        <f t="shared" si="1742"/>
        <v>5257</v>
      </c>
      <c r="R1116" s="117">
        <f t="shared" si="1743"/>
        <v>0</v>
      </c>
      <c r="S1116" s="282">
        <v>3724</v>
      </c>
      <c r="T1116" s="282"/>
      <c r="U1116" s="282"/>
    </row>
    <row r="1117" spans="1:25" ht="16.5" customHeight="1">
      <c r="A1117" s="21"/>
      <c r="B1117" s="33" t="s">
        <v>446</v>
      </c>
      <c r="C1117" s="12" t="s">
        <v>447</v>
      </c>
      <c r="D1117" s="66">
        <v>20.5</v>
      </c>
      <c r="E1117" s="197">
        <v>11242.23</v>
      </c>
      <c r="F1117" s="66">
        <v>15312</v>
      </c>
      <c r="G1117" s="66">
        <v>15312</v>
      </c>
      <c r="H1117" s="66">
        <v>15312</v>
      </c>
      <c r="I1117" s="197">
        <v>35347</v>
      </c>
      <c r="J1117" s="197">
        <v>35347</v>
      </c>
      <c r="K1117" s="197">
        <v>35347</v>
      </c>
      <c r="L1117" s="282">
        <v>34370</v>
      </c>
      <c r="M1117" s="282">
        <v>8593</v>
      </c>
      <c r="N1117" s="282">
        <v>8593</v>
      </c>
      <c r="O1117" s="282">
        <v>8593</v>
      </c>
      <c r="P1117" s="282">
        <v>8591</v>
      </c>
      <c r="Q1117" s="117">
        <f t="shared" si="1742"/>
        <v>34370</v>
      </c>
      <c r="R1117" s="117">
        <f t="shared" si="1743"/>
        <v>0</v>
      </c>
      <c r="S1117" s="282">
        <v>24347</v>
      </c>
      <c r="T1117" s="282"/>
      <c r="U1117" s="282"/>
      <c r="Y1117" s="155"/>
    </row>
    <row r="1118" spans="1:25" ht="22.5" customHeight="1">
      <c r="A1118" s="21"/>
      <c r="B1118" s="33" t="s">
        <v>210</v>
      </c>
      <c r="C1118" s="12" t="s">
        <v>448</v>
      </c>
      <c r="D1118" s="66">
        <v>0.5</v>
      </c>
      <c r="E1118" s="197">
        <v>264.52999999999997</v>
      </c>
      <c r="F1118" s="68">
        <v>2500</v>
      </c>
      <c r="G1118" s="68">
        <v>2500</v>
      </c>
      <c r="H1118" s="68">
        <v>2500</v>
      </c>
      <c r="I1118" s="197">
        <v>4246</v>
      </c>
      <c r="J1118" s="197">
        <v>500</v>
      </c>
      <c r="K1118" s="197">
        <v>4246</v>
      </c>
      <c r="L1118" s="282">
        <v>932</v>
      </c>
      <c r="M1118" s="282">
        <v>932</v>
      </c>
      <c r="N1118" s="282"/>
      <c r="O1118" s="282"/>
      <c r="P1118" s="282"/>
      <c r="Q1118" s="117">
        <f t="shared" si="1742"/>
        <v>932</v>
      </c>
      <c r="R1118" s="117">
        <f t="shared" si="1743"/>
        <v>0</v>
      </c>
      <c r="S1118" s="282">
        <v>3863</v>
      </c>
      <c r="T1118" s="282"/>
      <c r="U1118" s="282"/>
    </row>
    <row r="1119" spans="1:25" ht="70.5" customHeight="1">
      <c r="A1119" s="21" t="s">
        <v>533</v>
      </c>
      <c r="B1119" s="58" t="s">
        <v>532</v>
      </c>
      <c r="C1119" s="99">
        <f>C1120</f>
        <v>58</v>
      </c>
      <c r="D1119" s="66">
        <f t="shared" ref="D1119:U1120" si="1749">D1120</f>
        <v>2.6999999999999997</v>
      </c>
      <c r="E1119" s="66">
        <f t="shared" si="1749"/>
        <v>44.8</v>
      </c>
      <c r="F1119" s="66">
        <f t="shared" si="1749"/>
        <v>20170</v>
      </c>
      <c r="G1119" s="66">
        <f t="shared" si="1749"/>
        <v>20170</v>
      </c>
      <c r="H1119" s="66">
        <f t="shared" si="1749"/>
        <v>20170</v>
      </c>
      <c r="I1119" s="66">
        <f t="shared" si="1749"/>
        <v>33521</v>
      </c>
      <c r="J1119" s="66">
        <f t="shared" si="1749"/>
        <v>32015</v>
      </c>
      <c r="K1119" s="66">
        <f t="shared" si="1749"/>
        <v>33521</v>
      </c>
      <c r="L1119" s="288">
        <f t="shared" si="1749"/>
        <v>23521</v>
      </c>
      <c r="M1119" s="288">
        <f t="shared" si="1749"/>
        <v>6276</v>
      </c>
      <c r="N1119" s="288">
        <f t="shared" si="1749"/>
        <v>5749</v>
      </c>
      <c r="O1119" s="288">
        <f t="shared" si="1749"/>
        <v>5749</v>
      </c>
      <c r="P1119" s="288">
        <f t="shared" si="1749"/>
        <v>5747</v>
      </c>
      <c r="Q1119" s="117">
        <f t="shared" si="1742"/>
        <v>23521</v>
      </c>
      <c r="R1119" s="117">
        <f t="shared" si="1743"/>
        <v>0</v>
      </c>
      <c r="S1119" s="288">
        <f t="shared" si="1749"/>
        <v>55000</v>
      </c>
      <c r="T1119" s="288">
        <f t="shared" si="1749"/>
        <v>21000</v>
      </c>
      <c r="U1119" s="288">
        <f t="shared" si="1749"/>
        <v>0</v>
      </c>
    </row>
    <row r="1120" spans="1:25" ht="19.5" customHeight="1">
      <c r="A1120" s="21"/>
      <c r="B1120" s="33" t="s">
        <v>165</v>
      </c>
      <c r="C1120" s="84">
        <f>C1121</f>
        <v>58</v>
      </c>
      <c r="D1120" s="66">
        <f t="shared" si="1749"/>
        <v>2.6999999999999997</v>
      </c>
      <c r="E1120" s="66">
        <f t="shared" si="1749"/>
        <v>44.8</v>
      </c>
      <c r="F1120" s="66">
        <f t="shared" si="1749"/>
        <v>20170</v>
      </c>
      <c r="G1120" s="66">
        <f t="shared" si="1749"/>
        <v>20170</v>
      </c>
      <c r="H1120" s="66">
        <f t="shared" si="1749"/>
        <v>20170</v>
      </c>
      <c r="I1120" s="66">
        <f t="shared" si="1749"/>
        <v>33521</v>
      </c>
      <c r="J1120" s="66">
        <f t="shared" si="1749"/>
        <v>32015</v>
      </c>
      <c r="K1120" s="66">
        <f t="shared" si="1749"/>
        <v>33521</v>
      </c>
      <c r="L1120" s="288">
        <f t="shared" si="1749"/>
        <v>23521</v>
      </c>
      <c r="M1120" s="288">
        <f t="shared" si="1749"/>
        <v>6276</v>
      </c>
      <c r="N1120" s="288">
        <f t="shared" si="1749"/>
        <v>5749</v>
      </c>
      <c r="O1120" s="288">
        <f t="shared" si="1749"/>
        <v>5749</v>
      </c>
      <c r="P1120" s="288">
        <f t="shared" si="1749"/>
        <v>5747</v>
      </c>
      <c r="Q1120" s="117">
        <f t="shared" si="1742"/>
        <v>23521</v>
      </c>
      <c r="R1120" s="117">
        <f t="shared" si="1743"/>
        <v>0</v>
      </c>
      <c r="S1120" s="288">
        <f t="shared" si="1749"/>
        <v>55000</v>
      </c>
      <c r="T1120" s="288">
        <f t="shared" si="1749"/>
        <v>21000</v>
      </c>
      <c r="U1120" s="288">
        <f t="shared" si="1749"/>
        <v>0</v>
      </c>
    </row>
    <row r="1121" spans="1:22" ht="19.5" customHeight="1">
      <c r="A1121" s="21"/>
      <c r="B1121" s="33" t="s">
        <v>174</v>
      </c>
      <c r="C1121" s="12">
        <v>58</v>
      </c>
      <c r="D1121" s="66">
        <f t="shared" ref="D1121:U1121" si="1750">D1122+D1123+D1124</f>
        <v>2.6999999999999997</v>
      </c>
      <c r="E1121" s="66">
        <f t="shared" ref="E1121:F1121" si="1751">E1122+E1123+E1124</f>
        <v>44.8</v>
      </c>
      <c r="F1121" s="66">
        <f t="shared" si="1751"/>
        <v>20170</v>
      </c>
      <c r="G1121" s="66">
        <f t="shared" si="1750"/>
        <v>20170</v>
      </c>
      <c r="H1121" s="66">
        <f t="shared" si="1750"/>
        <v>20170</v>
      </c>
      <c r="I1121" s="66">
        <f t="shared" si="1750"/>
        <v>33521</v>
      </c>
      <c r="J1121" s="66">
        <f t="shared" si="1750"/>
        <v>32015</v>
      </c>
      <c r="K1121" s="66">
        <f t="shared" ref="K1121:L1121" si="1752">K1122+K1123+K1124</f>
        <v>33521</v>
      </c>
      <c r="L1121" s="288">
        <f t="shared" si="1752"/>
        <v>23521</v>
      </c>
      <c r="M1121" s="288">
        <f t="shared" ref="M1121:P1121" si="1753">M1122+M1123+M1124</f>
        <v>6276</v>
      </c>
      <c r="N1121" s="288">
        <f t="shared" si="1753"/>
        <v>5749</v>
      </c>
      <c r="O1121" s="288">
        <f t="shared" si="1753"/>
        <v>5749</v>
      </c>
      <c r="P1121" s="288">
        <f t="shared" si="1753"/>
        <v>5747</v>
      </c>
      <c r="Q1121" s="117">
        <f t="shared" si="1742"/>
        <v>23521</v>
      </c>
      <c r="R1121" s="117">
        <f t="shared" si="1743"/>
        <v>0</v>
      </c>
      <c r="S1121" s="288">
        <f t="shared" si="1750"/>
        <v>55000</v>
      </c>
      <c r="T1121" s="288">
        <f t="shared" si="1750"/>
        <v>21000</v>
      </c>
      <c r="U1121" s="288">
        <f t="shared" si="1750"/>
        <v>0</v>
      </c>
    </row>
    <row r="1122" spans="1:22" ht="19.5" customHeight="1">
      <c r="A1122" s="21"/>
      <c r="B1122" s="33" t="s">
        <v>534</v>
      </c>
      <c r="C1122" s="12" t="s">
        <v>478</v>
      </c>
      <c r="D1122" s="66">
        <v>0.4</v>
      </c>
      <c r="E1122" s="197">
        <v>5.8</v>
      </c>
      <c r="F1122" s="66">
        <v>2622</v>
      </c>
      <c r="G1122" s="66">
        <v>2622</v>
      </c>
      <c r="H1122" s="66">
        <v>2622</v>
      </c>
      <c r="I1122" s="197">
        <v>4181</v>
      </c>
      <c r="J1122" s="197">
        <v>4181</v>
      </c>
      <c r="K1122" s="197">
        <v>4181</v>
      </c>
      <c r="L1122" s="282">
        <v>3050</v>
      </c>
      <c r="M1122" s="282">
        <v>763</v>
      </c>
      <c r="N1122" s="282">
        <v>763</v>
      </c>
      <c r="O1122" s="282">
        <v>763</v>
      </c>
      <c r="P1122" s="282">
        <v>761</v>
      </c>
      <c r="Q1122" s="117">
        <f t="shared" si="1742"/>
        <v>3050</v>
      </c>
      <c r="R1122" s="117">
        <f t="shared" si="1743"/>
        <v>0</v>
      </c>
      <c r="S1122" s="282">
        <v>6980</v>
      </c>
      <c r="T1122" s="282">
        <v>2730</v>
      </c>
      <c r="U1122" s="282"/>
    </row>
    <row r="1123" spans="1:22" ht="18.75" customHeight="1">
      <c r="A1123" s="21"/>
      <c r="B1123" s="33" t="s">
        <v>446</v>
      </c>
      <c r="C1123" s="12" t="s">
        <v>447</v>
      </c>
      <c r="D1123" s="66">
        <v>2.2999999999999998</v>
      </c>
      <c r="E1123" s="197">
        <v>38.1</v>
      </c>
      <c r="F1123" s="66">
        <v>17145</v>
      </c>
      <c r="G1123" s="66">
        <v>17145</v>
      </c>
      <c r="H1123" s="66">
        <v>17145</v>
      </c>
      <c r="I1123" s="197">
        <v>27334</v>
      </c>
      <c r="J1123" s="197">
        <v>27334</v>
      </c>
      <c r="K1123" s="197">
        <v>27334</v>
      </c>
      <c r="L1123" s="282">
        <v>19944</v>
      </c>
      <c r="M1123" s="282">
        <v>4986</v>
      </c>
      <c r="N1123" s="282">
        <v>4986</v>
      </c>
      <c r="O1123" s="282">
        <v>4986</v>
      </c>
      <c r="P1123" s="282">
        <v>4986</v>
      </c>
      <c r="Q1123" s="117">
        <f t="shared" si="1742"/>
        <v>19944</v>
      </c>
      <c r="R1123" s="117">
        <f t="shared" si="1743"/>
        <v>0</v>
      </c>
      <c r="S1123" s="282">
        <v>45640</v>
      </c>
      <c r="T1123" s="282">
        <v>17850</v>
      </c>
      <c r="U1123" s="282"/>
    </row>
    <row r="1124" spans="1:22" ht="13.5" customHeight="1">
      <c r="A1124" s="21"/>
      <c r="B1124" s="33" t="s">
        <v>210</v>
      </c>
      <c r="C1124" s="12" t="s">
        <v>448</v>
      </c>
      <c r="D1124" s="66">
        <v>0</v>
      </c>
      <c r="E1124" s="197">
        <v>0.9</v>
      </c>
      <c r="F1124" s="66">
        <v>403</v>
      </c>
      <c r="G1124" s="66">
        <v>403</v>
      </c>
      <c r="H1124" s="66">
        <v>403</v>
      </c>
      <c r="I1124" s="197">
        <v>2006</v>
      </c>
      <c r="J1124" s="197">
        <v>500</v>
      </c>
      <c r="K1124" s="197">
        <v>2006</v>
      </c>
      <c r="L1124" s="282">
        <v>527</v>
      </c>
      <c r="M1124" s="282">
        <v>527</v>
      </c>
      <c r="N1124" s="282"/>
      <c r="O1124" s="282"/>
      <c r="P1124" s="282"/>
      <c r="Q1124" s="117">
        <f t="shared" si="1742"/>
        <v>527</v>
      </c>
      <c r="R1124" s="117">
        <f t="shared" si="1743"/>
        <v>0</v>
      </c>
      <c r="S1124" s="282">
        <v>2380</v>
      </c>
      <c r="T1124" s="282">
        <v>420</v>
      </c>
      <c r="U1124" s="282"/>
    </row>
    <row r="1125" spans="1:22" ht="59.25" hidden="1" customHeight="1">
      <c r="A1125" s="21"/>
      <c r="B1125" s="216" t="s">
        <v>632</v>
      </c>
      <c r="C1125" s="217">
        <f>C1126</f>
        <v>58</v>
      </c>
      <c r="D1125" s="218">
        <f>D1126</f>
        <v>0</v>
      </c>
      <c r="E1125" s="218">
        <f t="shared" ref="E1125:U1125" si="1754">E1126</f>
        <v>0</v>
      </c>
      <c r="F1125" s="218">
        <f t="shared" si="1754"/>
        <v>0</v>
      </c>
      <c r="G1125" s="218">
        <f t="shared" si="1754"/>
        <v>0</v>
      </c>
      <c r="H1125" s="218">
        <f t="shared" si="1754"/>
        <v>0</v>
      </c>
      <c r="I1125" s="218">
        <f t="shared" si="1754"/>
        <v>4557</v>
      </c>
      <c r="J1125" s="218">
        <f t="shared" si="1754"/>
        <v>3188</v>
      </c>
      <c r="K1125" s="218">
        <f t="shared" si="1754"/>
        <v>0</v>
      </c>
      <c r="L1125" s="304">
        <f t="shared" si="1754"/>
        <v>0</v>
      </c>
      <c r="M1125" s="304">
        <f t="shared" si="1754"/>
        <v>0</v>
      </c>
      <c r="N1125" s="304">
        <f t="shared" si="1754"/>
        <v>0</v>
      </c>
      <c r="O1125" s="304">
        <f t="shared" si="1754"/>
        <v>0</v>
      </c>
      <c r="P1125" s="304">
        <f t="shared" si="1754"/>
        <v>0</v>
      </c>
      <c r="Q1125" s="117">
        <f t="shared" si="1742"/>
        <v>0</v>
      </c>
      <c r="R1125" s="117">
        <f t="shared" si="1743"/>
        <v>0</v>
      </c>
      <c r="S1125" s="304">
        <f t="shared" si="1754"/>
        <v>0</v>
      </c>
      <c r="T1125" s="304">
        <f t="shared" si="1754"/>
        <v>0</v>
      </c>
      <c r="U1125" s="304">
        <f t="shared" si="1754"/>
        <v>0</v>
      </c>
      <c r="V1125" s="2" t="s">
        <v>643</v>
      </c>
    </row>
    <row r="1126" spans="1:22" ht="13.5" hidden="1" customHeight="1">
      <c r="A1126" s="21"/>
      <c r="B1126" s="219" t="s">
        <v>165</v>
      </c>
      <c r="C1126" s="220">
        <f>C1127</f>
        <v>58</v>
      </c>
      <c r="D1126" s="218">
        <f>D1127</f>
        <v>0</v>
      </c>
      <c r="E1126" s="218">
        <f t="shared" ref="E1126:U1126" si="1755">E1127</f>
        <v>0</v>
      </c>
      <c r="F1126" s="218">
        <f t="shared" si="1755"/>
        <v>0</v>
      </c>
      <c r="G1126" s="218">
        <f t="shared" si="1755"/>
        <v>0</v>
      </c>
      <c r="H1126" s="218">
        <f t="shared" si="1755"/>
        <v>0</v>
      </c>
      <c r="I1126" s="218">
        <f t="shared" si="1755"/>
        <v>4557</v>
      </c>
      <c r="J1126" s="218">
        <f t="shared" si="1755"/>
        <v>3188</v>
      </c>
      <c r="K1126" s="218">
        <f t="shared" si="1755"/>
        <v>0</v>
      </c>
      <c r="L1126" s="304">
        <f t="shared" si="1755"/>
        <v>0</v>
      </c>
      <c r="M1126" s="304">
        <f t="shared" si="1755"/>
        <v>0</v>
      </c>
      <c r="N1126" s="304">
        <f t="shared" si="1755"/>
        <v>0</v>
      </c>
      <c r="O1126" s="304">
        <f t="shared" si="1755"/>
        <v>0</v>
      </c>
      <c r="P1126" s="304">
        <f t="shared" si="1755"/>
        <v>0</v>
      </c>
      <c r="Q1126" s="117">
        <f t="shared" si="1742"/>
        <v>0</v>
      </c>
      <c r="R1126" s="117">
        <f t="shared" si="1743"/>
        <v>0</v>
      </c>
      <c r="S1126" s="304">
        <f t="shared" si="1755"/>
        <v>0</v>
      </c>
      <c r="T1126" s="304">
        <f t="shared" si="1755"/>
        <v>0</v>
      </c>
      <c r="U1126" s="304">
        <f t="shared" si="1755"/>
        <v>0</v>
      </c>
    </row>
    <row r="1127" spans="1:22" ht="13.5" hidden="1" customHeight="1">
      <c r="A1127" s="21"/>
      <c r="B1127" s="219" t="s">
        <v>174</v>
      </c>
      <c r="C1127" s="221">
        <v>58</v>
      </c>
      <c r="D1127" s="218">
        <f>D1128+D1129+D1130</f>
        <v>0</v>
      </c>
      <c r="E1127" s="218">
        <f t="shared" ref="E1127:U1127" si="1756">E1128+E1129+E1130</f>
        <v>0</v>
      </c>
      <c r="F1127" s="218">
        <f t="shared" ref="F1127" si="1757">F1128+F1129+F1130</f>
        <v>0</v>
      </c>
      <c r="G1127" s="218">
        <f t="shared" si="1756"/>
        <v>0</v>
      </c>
      <c r="H1127" s="218">
        <f t="shared" si="1756"/>
        <v>0</v>
      </c>
      <c r="I1127" s="218">
        <f t="shared" si="1756"/>
        <v>4557</v>
      </c>
      <c r="J1127" s="218">
        <f t="shared" si="1756"/>
        <v>3188</v>
      </c>
      <c r="K1127" s="218">
        <f t="shared" ref="K1127:L1127" si="1758">K1128+K1129+K1130</f>
        <v>0</v>
      </c>
      <c r="L1127" s="304">
        <f t="shared" si="1758"/>
        <v>0</v>
      </c>
      <c r="M1127" s="304">
        <f t="shared" ref="M1127:P1127" si="1759">M1128+M1129+M1130</f>
        <v>0</v>
      </c>
      <c r="N1127" s="304">
        <f t="shared" si="1759"/>
        <v>0</v>
      </c>
      <c r="O1127" s="304">
        <f t="shared" si="1759"/>
        <v>0</v>
      </c>
      <c r="P1127" s="304">
        <f t="shared" si="1759"/>
        <v>0</v>
      </c>
      <c r="Q1127" s="117">
        <f t="shared" si="1742"/>
        <v>0</v>
      </c>
      <c r="R1127" s="117">
        <f t="shared" si="1743"/>
        <v>0</v>
      </c>
      <c r="S1127" s="304">
        <f t="shared" si="1756"/>
        <v>0</v>
      </c>
      <c r="T1127" s="304">
        <f t="shared" si="1756"/>
        <v>0</v>
      </c>
      <c r="U1127" s="304">
        <f t="shared" si="1756"/>
        <v>0</v>
      </c>
    </row>
    <row r="1128" spans="1:22" ht="13.5" hidden="1" customHeight="1">
      <c r="A1128" s="21"/>
      <c r="B1128" s="219" t="s">
        <v>534</v>
      </c>
      <c r="C1128" s="221" t="s">
        <v>507</v>
      </c>
      <c r="D1128" s="218">
        <v>0</v>
      </c>
      <c r="E1128" s="199">
        <v>0</v>
      </c>
      <c r="F1128" s="218"/>
      <c r="G1128" s="218"/>
      <c r="H1128" s="218"/>
      <c r="I1128" s="199">
        <v>423</v>
      </c>
      <c r="J1128" s="199">
        <v>423</v>
      </c>
      <c r="K1128" s="199"/>
      <c r="L1128" s="303"/>
      <c r="M1128" s="303"/>
      <c r="N1128" s="303"/>
      <c r="O1128" s="303"/>
      <c r="P1128" s="303"/>
      <c r="Q1128" s="117">
        <f t="shared" si="1742"/>
        <v>0</v>
      </c>
      <c r="R1128" s="117">
        <f t="shared" si="1743"/>
        <v>0</v>
      </c>
      <c r="S1128" s="303"/>
      <c r="T1128" s="303"/>
      <c r="U1128" s="303"/>
    </row>
    <row r="1129" spans="1:22" ht="13.5" hidden="1" customHeight="1">
      <c r="A1129" s="21"/>
      <c r="B1129" s="219" t="s">
        <v>446</v>
      </c>
      <c r="C1129" s="221" t="s">
        <v>508</v>
      </c>
      <c r="D1129" s="218">
        <v>0</v>
      </c>
      <c r="E1129" s="199">
        <v>0</v>
      </c>
      <c r="F1129" s="218"/>
      <c r="G1129" s="218"/>
      <c r="H1129" s="218"/>
      <c r="I1129" s="199">
        <v>2765</v>
      </c>
      <c r="J1129" s="199">
        <v>2765</v>
      </c>
      <c r="K1129" s="199"/>
      <c r="L1129" s="303"/>
      <c r="M1129" s="303"/>
      <c r="N1129" s="303"/>
      <c r="O1129" s="303"/>
      <c r="P1129" s="303"/>
      <c r="Q1129" s="117">
        <f t="shared" si="1742"/>
        <v>0</v>
      </c>
      <c r="R1129" s="117">
        <f t="shared" si="1743"/>
        <v>0</v>
      </c>
      <c r="S1129" s="303"/>
      <c r="T1129" s="303"/>
      <c r="U1129" s="303"/>
    </row>
    <row r="1130" spans="1:22" ht="13.5" hidden="1" customHeight="1">
      <c r="A1130" s="21"/>
      <c r="B1130" s="219" t="s">
        <v>210</v>
      </c>
      <c r="C1130" s="221" t="s">
        <v>509</v>
      </c>
      <c r="D1130" s="218">
        <v>0</v>
      </c>
      <c r="E1130" s="199">
        <v>0</v>
      </c>
      <c r="F1130" s="218"/>
      <c r="G1130" s="218"/>
      <c r="H1130" s="218"/>
      <c r="I1130" s="199">
        <v>1369</v>
      </c>
      <c r="J1130" s="199"/>
      <c r="K1130" s="199"/>
      <c r="L1130" s="303"/>
      <c r="M1130" s="303"/>
      <c r="N1130" s="303"/>
      <c r="O1130" s="303"/>
      <c r="P1130" s="303"/>
      <c r="Q1130" s="117">
        <f t="shared" si="1742"/>
        <v>0</v>
      </c>
      <c r="R1130" s="117">
        <f t="shared" si="1743"/>
        <v>0</v>
      </c>
      <c r="S1130" s="303"/>
      <c r="T1130" s="303"/>
      <c r="U1130" s="303"/>
    </row>
    <row r="1131" spans="1:22" ht="13.5" hidden="1" customHeight="1">
      <c r="A1131" s="21">
        <v>3</v>
      </c>
      <c r="B1131" s="207" t="s">
        <v>433</v>
      </c>
      <c r="C1131" s="184">
        <v>87.02</v>
      </c>
      <c r="D1131" s="185">
        <f t="shared" ref="D1131:U1133" si="1760">D1132</f>
        <v>0</v>
      </c>
      <c r="E1131" s="185">
        <f t="shared" si="1760"/>
        <v>0</v>
      </c>
      <c r="F1131" s="185">
        <f t="shared" si="1760"/>
        <v>1000</v>
      </c>
      <c r="G1131" s="185">
        <f t="shared" si="1760"/>
        <v>1000</v>
      </c>
      <c r="H1131" s="185">
        <f t="shared" si="1760"/>
        <v>1000</v>
      </c>
      <c r="I1131" s="185">
        <f t="shared" si="1760"/>
        <v>15907</v>
      </c>
      <c r="J1131" s="185">
        <f t="shared" si="1760"/>
        <v>1000</v>
      </c>
      <c r="K1131" s="185">
        <f t="shared" si="1760"/>
        <v>0</v>
      </c>
      <c r="L1131" s="299">
        <f t="shared" si="1760"/>
        <v>0</v>
      </c>
      <c r="M1131" s="299">
        <f t="shared" si="1760"/>
        <v>0</v>
      </c>
      <c r="N1131" s="299">
        <f t="shared" si="1760"/>
        <v>0</v>
      </c>
      <c r="O1131" s="299">
        <f t="shared" si="1760"/>
        <v>0</v>
      </c>
      <c r="P1131" s="299">
        <f t="shared" si="1760"/>
        <v>0</v>
      </c>
      <c r="Q1131" s="117">
        <f t="shared" si="1742"/>
        <v>0</v>
      </c>
      <c r="R1131" s="117">
        <f t="shared" si="1743"/>
        <v>0</v>
      </c>
      <c r="S1131" s="299">
        <f t="shared" si="1760"/>
        <v>0</v>
      </c>
      <c r="T1131" s="299">
        <f t="shared" si="1760"/>
        <v>0</v>
      </c>
      <c r="U1131" s="299">
        <f t="shared" si="1760"/>
        <v>0</v>
      </c>
    </row>
    <row r="1132" spans="1:22" ht="34.5" hidden="1" customHeight="1">
      <c r="A1132" s="21" t="s">
        <v>464</v>
      </c>
      <c r="B1132" s="20" t="s">
        <v>432</v>
      </c>
      <c r="C1132" s="84" t="s">
        <v>411</v>
      </c>
      <c r="D1132" s="79">
        <f t="shared" si="1760"/>
        <v>0</v>
      </c>
      <c r="E1132" s="79">
        <f t="shared" si="1760"/>
        <v>0</v>
      </c>
      <c r="F1132" s="79">
        <f t="shared" si="1760"/>
        <v>1000</v>
      </c>
      <c r="G1132" s="79">
        <f t="shared" si="1760"/>
        <v>1000</v>
      </c>
      <c r="H1132" s="79">
        <f t="shared" si="1760"/>
        <v>1000</v>
      </c>
      <c r="I1132" s="79">
        <f t="shared" si="1760"/>
        <v>15907</v>
      </c>
      <c r="J1132" s="79">
        <f t="shared" si="1760"/>
        <v>1000</v>
      </c>
      <c r="K1132" s="79">
        <f t="shared" si="1760"/>
        <v>0</v>
      </c>
      <c r="L1132" s="289">
        <f t="shared" si="1760"/>
        <v>0</v>
      </c>
      <c r="M1132" s="289">
        <f t="shared" si="1760"/>
        <v>0</v>
      </c>
      <c r="N1132" s="289">
        <f t="shared" si="1760"/>
        <v>0</v>
      </c>
      <c r="O1132" s="289">
        <f t="shared" si="1760"/>
        <v>0</v>
      </c>
      <c r="P1132" s="289">
        <f t="shared" si="1760"/>
        <v>0</v>
      </c>
      <c r="Q1132" s="117">
        <f t="shared" si="1742"/>
        <v>0</v>
      </c>
      <c r="R1132" s="117">
        <f t="shared" si="1743"/>
        <v>0</v>
      </c>
      <c r="S1132" s="289">
        <f t="shared" si="1760"/>
        <v>0</v>
      </c>
      <c r="T1132" s="289">
        <f t="shared" si="1760"/>
        <v>0</v>
      </c>
      <c r="U1132" s="289">
        <f t="shared" si="1760"/>
        <v>0</v>
      </c>
    </row>
    <row r="1133" spans="1:22" ht="22.5" hidden="1" customHeight="1">
      <c r="A1133" s="21"/>
      <c r="B1133" s="33" t="s">
        <v>165</v>
      </c>
      <c r="C1133" s="84"/>
      <c r="D1133" s="66">
        <f t="shared" si="1760"/>
        <v>0</v>
      </c>
      <c r="E1133" s="66">
        <f t="shared" si="1760"/>
        <v>0</v>
      </c>
      <c r="F1133" s="66">
        <f t="shared" si="1760"/>
        <v>1000</v>
      </c>
      <c r="G1133" s="66">
        <f t="shared" si="1760"/>
        <v>1000</v>
      </c>
      <c r="H1133" s="66">
        <f t="shared" si="1760"/>
        <v>1000</v>
      </c>
      <c r="I1133" s="66">
        <f t="shared" si="1760"/>
        <v>15907</v>
      </c>
      <c r="J1133" s="66">
        <f t="shared" si="1760"/>
        <v>1000</v>
      </c>
      <c r="K1133" s="66">
        <f t="shared" si="1760"/>
        <v>0</v>
      </c>
      <c r="L1133" s="288">
        <f t="shared" si="1760"/>
        <v>0</v>
      </c>
      <c r="M1133" s="288">
        <f t="shared" si="1760"/>
        <v>0</v>
      </c>
      <c r="N1133" s="288">
        <f t="shared" si="1760"/>
        <v>0</v>
      </c>
      <c r="O1133" s="288">
        <f t="shared" si="1760"/>
        <v>0</v>
      </c>
      <c r="P1133" s="288">
        <f t="shared" si="1760"/>
        <v>0</v>
      </c>
      <c r="Q1133" s="117">
        <f t="shared" si="1742"/>
        <v>0</v>
      </c>
      <c r="R1133" s="117">
        <f t="shared" si="1743"/>
        <v>0</v>
      </c>
      <c r="S1133" s="288">
        <f t="shared" si="1760"/>
        <v>0</v>
      </c>
      <c r="T1133" s="288">
        <f t="shared" si="1760"/>
        <v>0</v>
      </c>
      <c r="U1133" s="288">
        <f t="shared" si="1760"/>
        <v>0</v>
      </c>
    </row>
    <row r="1134" spans="1:22" ht="27.75" hidden="1" customHeight="1">
      <c r="A1134" s="21"/>
      <c r="B1134" s="59" t="s">
        <v>390</v>
      </c>
      <c r="C1134" s="98" t="s">
        <v>391</v>
      </c>
      <c r="D1134" s="66">
        <v>0</v>
      </c>
      <c r="E1134" s="197"/>
      <c r="F1134" s="66">
        <v>1000</v>
      </c>
      <c r="G1134" s="66">
        <v>1000</v>
      </c>
      <c r="H1134" s="66">
        <v>1000</v>
      </c>
      <c r="I1134" s="197">
        <v>15907</v>
      </c>
      <c r="J1134" s="197">
        <v>1000</v>
      </c>
      <c r="K1134" s="199"/>
      <c r="L1134" s="282"/>
      <c r="M1134" s="282"/>
      <c r="N1134" s="282"/>
      <c r="O1134" s="282"/>
      <c r="P1134" s="282"/>
      <c r="Q1134" s="117">
        <f t="shared" si="1742"/>
        <v>0</v>
      </c>
      <c r="R1134" s="117">
        <f t="shared" si="1743"/>
        <v>0</v>
      </c>
      <c r="S1134" s="282"/>
      <c r="T1134" s="282"/>
      <c r="U1134" s="282"/>
    </row>
    <row r="1135" spans="1:22" ht="22.5" hidden="1" customHeight="1">
      <c r="A1135" s="21"/>
      <c r="B1135" s="60" t="s">
        <v>412</v>
      </c>
      <c r="C1135" s="100"/>
      <c r="D1135" s="66"/>
      <c r="E1135" s="197"/>
      <c r="F1135" s="66"/>
      <c r="G1135" s="66"/>
      <c r="H1135" s="66"/>
      <c r="I1135" s="197"/>
      <c r="J1135" s="197"/>
      <c r="K1135" s="197"/>
      <c r="L1135" s="282"/>
      <c r="M1135" s="282"/>
      <c r="N1135" s="282"/>
      <c r="O1135" s="282"/>
      <c r="P1135" s="282"/>
      <c r="Q1135" s="117">
        <f t="shared" si="1742"/>
        <v>0</v>
      </c>
      <c r="R1135" s="117">
        <f t="shared" si="1743"/>
        <v>0</v>
      </c>
      <c r="S1135" s="282"/>
      <c r="T1135" s="282"/>
      <c r="U1135" s="282"/>
    </row>
    <row r="1136" spans="1:22" ht="22.5" customHeight="1">
      <c r="A1136" s="61"/>
      <c r="B1136" s="62" t="s">
        <v>413</v>
      </c>
      <c r="C1136" s="101"/>
      <c r="D1136" s="80">
        <f t="shared" ref="D1136:U1136" si="1761">D12-D221</f>
        <v>17876.309999999998</v>
      </c>
      <c r="E1136" s="80">
        <f t="shared" si="1761"/>
        <v>-58748.240000000107</v>
      </c>
      <c r="F1136" s="80">
        <f t="shared" si="1761"/>
        <v>-111420</v>
      </c>
      <c r="G1136" s="80">
        <f t="shared" si="1761"/>
        <v>-101000</v>
      </c>
      <c r="H1136" s="80">
        <f t="shared" si="1761"/>
        <v>-111419</v>
      </c>
      <c r="I1136" s="80">
        <f t="shared" si="1761"/>
        <v>-240926.47571428574</v>
      </c>
      <c r="J1136" s="80">
        <f t="shared" si="1761"/>
        <v>0</v>
      </c>
      <c r="K1136" s="80">
        <f t="shared" si="1761"/>
        <v>-384790.19</v>
      </c>
      <c r="L1136" s="305">
        <f t="shared" si="1761"/>
        <v>-34939</v>
      </c>
      <c r="M1136" s="305">
        <f t="shared" ref="M1136:P1136" si="1762">M12-M221</f>
        <v>-34939</v>
      </c>
      <c r="N1136" s="305">
        <f t="shared" si="1762"/>
        <v>0</v>
      </c>
      <c r="O1136" s="305">
        <f t="shared" si="1762"/>
        <v>0</v>
      </c>
      <c r="P1136" s="305">
        <f t="shared" si="1762"/>
        <v>0</v>
      </c>
      <c r="Q1136" s="117">
        <f t="shared" si="1742"/>
        <v>-34939</v>
      </c>
      <c r="R1136" s="117">
        <f t="shared" si="1743"/>
        <v>0</v>
      </c>
      <c r="S1136" s="305">
        <f t="shared" si="1761"/>
        <v>0</v>
      </c>
      <c r="T1136" s="305">
        <f t="shared" si="1761"/>
        <v>0</v>
      </c>
      <c r="U1136" s="305">
        <f t="shared" si="1761"/>
        <v>0</v>
      </c>
    </row>
    <row r="1137" spans="1:21" ht="22.5" customHeight="1">
      <c r="A1137" s="17"/>
      <c r="B1137" s="63"/>
      <c r="C1137" s="166"/>
      <c r="D1137" s="167"/>
      <c r="F1137" s="167"/>
      <c r="G1137" s="167"/>
      <c r="H1137" s="167"/>
      <c r="L1137" s="280"/>
      <c r="M1137" s="280"/>
      <c r="N1137" s="280"/>
      <c r="O1137" s="280"/>
      <c r="P1137" s="280"/>
      <c r="Q1137" s="280"/>
      <c r="R1137" s="280"/>
      <c r="S1137" s="280"/>
      <c r="T1137" s="280"/>
      <c r="U1137" s="280"/>
    </row>
    <row r="1138" spans="1:21" s="155" customFormat="1" ht="15">
      <c r="A1138" s="190"/>
      <c r="B1138" s="227" t="s">
        <v>650</v>
      </c>
      <c r="C1138" s="228"/>
      <c r="D1138" s="197"/>
      <c r="E1138" s="197"/>
      <c r="F1138" s="229"/>
      <c r="G1138" s="229"/>
      <c r="H1138" s="229"/>
      <c r="I1138" s="197"/>
      <c r="J1138" s="197"/>
      <c r="K1138" s="197"/>
      <c r="L1138" s="282">
        <f>-L1136</f>
        <v>34939</v>
      </c>
      <c r="M1138" s="282">
        <f>-M1136</f>
        <v>34939</v>
      </c>
      <c r="N1138" s="282"/>
      <c r="O1138" s="282"/>
      <c r="P1138" s="282"/>
      <c r="Q1138" s="272"/>
      <c r="R1138" s="272"/>
      <c r="S1138" s="272"/>
      <c r="T1138" s="272"/>
      <c r="U1138" s="272"/>
    </row>
    <row r="1139" spans="1:21" s="155" customFormat="1" ht="15">
      <c r="A1139" s="190"/>
      <c r="B1139" s="230" t="s">
        <v>651</v>
      </c>
      <c r="C1139" s="189"/>
      <c r="F1139" s="170"/>
      <c r="G1139" s="170"/>
      <c r="H1139" s="170"/>
      <c r="L1139" s="282">
        <f>L1221</f>
        <v>34939</v>
      </c>
      <c r="M1139" s="282">
        <f>M1221</f>
        <v>34939</v>
      </c>
      <c r="N1139" s="282"/>
      <c r="O1139" s="282"/>
      <c r="P1139" s="282"/>
      <c r="Q1139" s="272"/>
      <c r="R1139" s="272"/>
      <c r="S1139" s="272"/>
      <c r="T1139" s="272"/>
      <c r="U1139" s="272"/>
    </row>
    <row r="1140" spans="1:21" s="155" customFormat="1" ht="15">
      <c r="A1140" s="190"/>
      <c r="B1140" s="231" t="s">
        <v>652</v>
      </c>
      <c r="C1140" s="189"/>
      <c r="F1140" s="170"/>
      <c r="G1140" s="170"/>
      <c r="H1140" s="170"/>
      <c r="L1140" s="282">
        <f>L1141+L1152</f>
        <v>3133</v>
      </c>
      <c r="M1140" s="282">
        <f>M1141+M1152</f>
        <v>3133</v>
      </c>
      <c r="N1140" s="282"/>
      <c r="O1140" s="282"/>
      <c r="P1140" s="282"/>
      <c r="Q1140" s="272"/>
      <c r="R1140" s="272"/>
      <c r="S1140" s="272"/>
      <c r="T1140" s="272"/>
      <c r="U1140" s="272"/>
    </row>
    <row r="1141" spans="1:21" s="155" customFormat="1" ht="17.25" customHeight="1">
      <c r="A1141" s="190"/>
      <c r="B1141" s="232" t="s">
        <v>653</v>
      </c>
      <c r="C1141" s="189"/>
      <c r="F1141" s="171"/>
      <c r="G1141" s="171"/>
      <c r="H1141" s="171"/>
      <c r="L1141" s="282">
        <f>L1142+L1143+L1144+L1145+L1146+L1147+L1148+L1149+L1150+L1151</f>
        <v>1100</v>
      </c>
      <c r="M1141" s="282">
        <f>M1142+M1143+M1144+M1145+M1146+M1147+M1148+M1149+M1150+M1151</f>
        <v>1100</v>
      </c>
      <c r="N1141" s="282"/>
      <c r="O1141" s="282"/>
      <c r="P1141" s="282"/>
      <c r="Q1141" s="272"/>
      <c r="R1141" s="272"/>
      <c r="S1141" s="272"/>
      <c r="T1141" s="272"/>
      <c r="U1141" s="272"/>
    </row>
    <row r="1142" spans="1:21" s="155" customFormat="1" ht="60">
      <c r="A1142" s="191"/>
      <c r="B1142" s="233" t="s">
        <v>654</v>
      </c>
      <c r="C1142" s="189"/>
      <c r="F1142" s="169"/>
      <c r="G1142" s="169"/>
      <c r="H1142" s="169"/>
      <c r="L1142" s="306">
        <v>44</v>
      </c>
      <c r="M1142" s="306">
        <v>44</v>
      </c>
      <c r="N1142" s="306"/>
      <c r="O1142" s="306"/>
      <c r="P1142" s="306"/>
      <c r="Q1142" s="273"/>
      <c r="R1142" s="273"/>
      <c r="S1142" s="272"/>
      <c r="T1142" s="272"/>
      <c r="U1142" s="272"/>
    </row>
    <row r="1143" spans="1:21" s="155" customFormat="1" ht="45">
      <c r="A1143" s="190"/>
      <c r="B1143" s="234" t="s">
        <v>655</v>
      </c>
      <c r="C1143" s="189"/>
      <c r="L1143" s="306">
        <f>130+32</f>
        <v>162</v>
      </c>
      <c r="M1143" s="306">
        <f>130+32</f>
        <v>162</v>
      </c>
      <c r="N1143" s="306"/>
      <c r="O1143" s="306"/>
      <c r="P1143" s="306"/>
      <c r="Q1143" s="273"/>
      <c r="R1143" s="273"/>
      <c r="S1143" s="272"/>
      <c r="T1143" s="272"/>
      <c r="U1143" s="272"/>
    </row>
    <row r="1144" spans="1:21" ht="45">
      <c r="A1144" s="159"/>
      <c r="B1144" s="234" t="s">
        <v>656</v>
      </c>
      <c r="L1144" s="306">
        <v>123</v>
      </c>
      <c r="M1144" s="306">
        <v>123</v>
      </c>
      <c r="N1144" s="306"/>
      <c r="O1144" s="306"/>
      <c r="P1144" s="306"/>
      <c r="Q1144" s="273"/>
      <c r="R1144" s="273"/>
      <c r="S1144" s="280"/>
      <c r="T1144" s="280"/>
      <c r="U1144" s="280"/>
    </row>
    <row r="1145" spans="1:21" ht="30">
      <c r="B1145" s="235" t="s">
        <v>657</v>
      </c>
      <c r="L1145" s="306">
        <v>20</v>
      </c>
      <c r="M1145" s="306">
        <v>20</v>
      </c>
      <c r="N1145" s="306"/>
      <c r="O1145" s="306"/>
      <c r="P1145" s="306"/>
      <c r="Q1145" s="273"/>
      <c r="R1145" s="273"/>
      <c r="S1145" s="280"/>
      <c r="T1145" s="280"/>
      <c r="U1145" s="280"/>
    </row>
    <row r="1146" spans="1:21" ht="30">
      <c r="B1146" s="236" t="s">
        <v>658</v>
      </c>
      <c r="L1146" s="306">
        <f>541+52</f>
        <v>593</v>
      </c>
      <c r="M1146" s="306">
        <f>541+52</f>
        <v>593</v>
      </c>
      <c r="N1146" s="306"/>
      <c r="O1146" s="306"/>
      <c r="P1146" s="306"/>
      <c r="Q1146" s="273"/>
      <c r="R1146" s="273"/>
      <c r="S1146" s="280"/>
      <c r="T1146" s="280"/>
      <c r="U1146" s="280"/>
    </row>
    <row r="1147" spans="1:21" ht="45">
      <c r="B1147" s="233" t="s">
        <v>659</v>
      </c>
      <c r="L1147" s="306">
        <v>20</v>
      </c>
      <c r="M1147" s="306">
        <v>20</v>
      </c>
      <c r="N1147" s="306"/>
      <c r="O1147" s="306"/>
      <c r="P1147" s="306"/>
      <c r="Q1147" s="273"/>
      <c r="R1147" s="273"/>
      <c r="S1147" s="280"/>
      <c r="T1147" s="280"/>
      <c r="U1147" s="280"/>
    </row>
    <row r="1148" spans="1:21" ht="30">
      <c r="B1148" s="233" t="s">
        <v>660</v>
      </c>
      <c r="L1148" s="306">
        <f>20+4</f>
        <v>24</v>
      </c>
      <c r="M1148" s="306">
        <f>20+4</f>
        <v>24</v>
      </c>
      <c r="N1148" s="306"/>
      <c r="O1148" s="306"/>
      <c r="P1148" s="306"/>
      <c r="Q1148" s="273"/>
      <c r="R1148" s="273"/>
      <c r="S1148" s="280"/>
      <c r="T1148" s="280"/>
      <c r="U1148" s="280"/>
    </row>
    <row r="1149" spans="1:21" ht="30">
      <c r="B1149" s="233" t="s">
        <v>661</v>
      </c>
      <c r="L1149" s="306">
        <v>5</v>
      </c>
      <c r="M1149" s="306">
        <v>5</v>
      </c>
      <c r="N1149" s="306"/>
      <c r="O1149" s="306"/>
      <c r="P1149" s="306"/>
      <c r="Q1149" s="273"/>
      <c r="R1149" s="273"/>
      <c r="S1149" s="280"/>
      <c r="T1149" s="280"/>
      <c r="U1149" s="280"/>
    </row>
    <row r="1150" spans="1:21" ht="45">
      <c r="B1150" s="233" t="s">
        <v>662</v>
      </c>
      <c r="L1150" s="306">
        <v>6</v>
      </c>
      <c r="M1150" s="306">
        <v>6</v>
      </c>
      <c r="N1150" s="306"/>
      <c r="O1150" s="306"/>
      <c r="P1150" s="306"/>
      <c r="Q1150" s="273"/>
      <c r="R1150" s="273"/>
      <c r="S1150" s="280"/>
      <c r="T1150" s="280"/>
      <c r="U1150" s="280"/>
    </row>
    <row r="1151" spans="1:21" ht="30">
      <c r="B1151" s="233" t="s">
        <v>663</v>
      </c>
      <c r="L1151" s="307">
        <f>100+3</f>
        <v>103</v>
      </c>
      <c r="M1151" s="307">
        <f>100+3</f>
        <v>103</v>
      </c>
      <c r="N1151" s="307"/>
      <c r="O1151" s="307"/>
      <c r="P1151" s="307"/>
      <c r="Q1151" s="274"/>
      <c r="R1151" s="274"/>
      <c r="S1151" s="280"/>
      <c r="T1151" s="280"/>
      <c r="U1151" s="280"/>
    </row>
    <row r="1152" spans="1:21" ht="14.25">
      <c r="B1152" s="238" t="s">
        <v>664</v>
      </c>
      <c r="L1152" s="282">
        <f>L1153+L1154+L1155</f>
        <v>2033</v>
      </c>
      <c r="M1152" s="282">
        <f>M1153+M1154+M1155</f>
        <v>2033</v>
      </c>
      <c r="N1152" s="282"/>
      <c r="O1152" s="282"/>
      <c r="P1152" s="282"/>
      <c r="Q1152" s="272"/>
      <c r="R1152" s="272"/>
      <c r="S1152" s="280"/>
      <c r="T1152" s="280"/>
      <c r="U1152" s="280"/>
    </row>
    <row r="1153" spans="2:21" ht="30">
      <c r="B1153" s="239" t="s">
        <v>665</v>
      </c>
      <c r="L1153" s="282">
        <v>400</v>
      </c>
      <c r="M1153" s="282">
        <v>400</v>
      </c>
      <c r="N1153" s="282"/>
      <c r="O1153" s="282"/>
      <c r="P1153" s="282"/>
      <c r="Q1153" s="272"/>
      <c r="R1153" s="272"/>
      <c r="S1153" s="280"/>
      <c r="T1153" s="280"/>
      <c r="U1153" s="280"/>
    </row>
    <row r="1154" spans="2:21" ht="135">
      <c r="B1154" s="240" t="s">
        <v>666</v>
      </c>
      <c r="L1154" s="282">
        <v>376</v>
      </c>
      <c r="M1154" s="282">
        <v>376</v>
      </c>
      <c r="N1154" s="282"/>
      <c r="O1154" s="282"/>
      <c r="P1154" s="282"/>
      <c r="Q1154" s="272"/>
      <c r="R1154" s="272"/>
      <c r="S1154" s="280"/>
      <c r="T1154" s="280"/>
      <c r="U1154" s="280"/>
    </row>
    <row r="1155" spans="2:21" ht="15">
      <c r="B1155" s="237" t="s">
        <v>667</v>
      </c>
      <c r="L1155" s="282">
        <v>1257</v>
      </c>
      <c r="M1155" s="282">
        <v>1257</v>
      </c>
      <c r="N1155" s="282"/>
      <c r="O1155" s="282"/>
      <c r="P1155" s="282"/>
      <c r="Q1155" s="272"/>
      <c r="R1155" s="272"/>
      <c r="S1155" s="280"/>
      <c r="T1155" s="280"/>
      <c r="U1155" s="280"/>
    </row>
    <row r="1156" spans="2:21" ht="28.5">
      <c r="B1156" s="241" t="s">
        <v>668</v>
      </c>
      <c r="L1156" s="282">
        <v>316</v>
      </c>
      <c r="M1156" s="282">
        <v>316</v>
      </c>
      <c r="N1156" s="282"/>
      <c r="O1156" s="282"/>
      <c r="P1156" s="282"/>
      <c r="Q1156" s="272"/>
      <c r="R1156" s="272"/>
      <c r="S1156" s="280"/>
      <c r="T1156" s="280"/>
      <c r="U1156" s="280"/>
    </row>
    <row r="1157" spans="2:21" ht="28.5">
      <c r="B1157" s="242" t="s">
        <v>669</v>
      </c>
      <c r="L1157" s="282">
        <v>316</v>
      </c>
      <c r="M1157" s="282">
        <v>316</v>
      </c>
      <c r="N1157" s="282"/>
      <c r="O1157" s="282"/>
      <c r="P1157" s="282"/>
      <c r="Q1157" s="272"/>
      <c r="R1157" s="272"/>
      <c r="S1157" s="280"/>
      <c r="T1157" s="280"/>
      <c r="U1157" s="280"/>
    </row>
    <row r="1158" spans="2:21" ht="14.25">
      <c r="B1158" s="243" t="s">
        <v>664</v>
      </c>
      <c r="L1158" s="282">
        <v>316</v>
      </c>
      <c r="M1158" s="282">
        <v>316</v>
      </c>
      <c r="N1158" s="282"/>
      <c r="O1158" s="282"/>
      <c r="P1158" s="282"/>
      <c r="Q1158" s="272"/>
      <c r="R1158" s="272"/>
      <c r="S1158" s="280"/>
      <c r="T1158" s="280"/>
      <c r="U1158" s="280"/>
    </row>
    <row r="1159" spans="2:21" ht="30">
      <c r="B1159" s="244" t="s">
        <v>670</v>
      </c>
      <c r="L1159" s="282">
        <v>316</v>
      </c>
      <c r="M1159" s="282">
        <v>316</v>
      </c>
      <c r="N1159" s="282"/>
      <c r="O1159" s="282"/>
      <c r="P1159" s="282"/>
      <c r="Q1159" s="272"/>
      <c r="R1159" s="272"/>
      <c r="S1159" s="280"/>
      <c r="T1159" s="280"/>
      <c r="U1159" s="280"/>
    </row>
    <row r="1160" spans="2:21" ht="14.25">
      <c r="B1160" s="245" t="s">
        <v>671</v>
      </c>
      <c r="L1160" s="282">
        <f>L1161</f>
        <v>10000</v>
      </c>
      <c r="M1160" s="282">
        <f>M1161</f>
        <v>10000</v>
      </c>
      <c r="N1160" s="282"/>
      <c r="O1160" s="282"/>
      <c r="P1160" s="282"/>
      <c r="Q1160" s="272"/>
      <c r="R1160" s="272"/>
      <c r="S1160" s="280"/>
      <c r="T1160" s="280"/>
      <c r="U1160" s="280"/>
    </row>
    <row r="1161" spans="2:21" ht="14.25">
      <c r="B1161" s="246" t="s">
        <v>520</v>
      </c>
      <c r="L1161" s="282">
        <v>10000</v>
      </c>
      <c r="M1161" s="282">
        <v>10000</v>
      </c>
      <c r="N1161" s="282"/>
      <c r="O1161" s="282"/>
      <c r="P1161" s="282"/>
      <c r="Q1161" s="272"/>
      <c r="R1161" s="272"/>
      <c r="S1161" s="280"/>
      <c r="T1161" s="280"/>
      <c r="U1161" s="280"/>
    </row>
    <row r="1162" spans="2:21" ht="14.25">
      <c r="B1162" s="243" t="s">
        <v>664</v>
      </c>
      <c r="L1162" s="282">
        <v>10000</v>
      </c>
      <c r="M1162" s="282">
        <v>10000</v>
      </c>
      <c r="N1162" s="282"/>
      <c r="O1162" s="282"/>
      <c r="P1162" s="282"/>
      <c r="Q1162" s="272"/>
      <c r="R1162" s="272"/>
      <c r="S1162" s="280"/>
      <c r="T1162" s="280"/>
      <c r="U1162" s="280"/>
    </row>
    <row r="1163" spans="2:21" ht="30">
      <c r="B1163" s="247" t="s">
        <v>672</v>
      </c>
      <c r="L1163" s="282">
        <v>10000</v>
      </c>
      <c r="M1163" s="282">
        <v>10000</v>
      </c>
      <c r="N1163" s="282"/>
      <c r="O1163" s="282"/>
      <c r="P1163" s="282"/>
      <c r="Q1163" s="272"/>
      <c r="R1163" s="272"/>
      <c r="S1163" s="280"/>
      <c r="T1163" s="280"/>
      <c r="U1163" s="280"/>
    </row>
    <row r="1164" spans="2:21" ht="14.25">
      <c r="B1164" s="245" t="s">
        <v>673</v>
      </c>
      <c r="L1164" s="282">
        <f>L1167+L1178</f>
        <v>2044</v>
      </c>
      <c r="M1164" s="282">
        <f>M1167+M1178</f>
        <v>2044</v>
      </c>
      <c r="N1164" s="282"/>
      <c r="O1164" s="282"/>
      <c r="P1164" s="282"/>
      <c r="Q1164" s="272"/>
      <c r="R1164" s="272"/>
      <c r="S1164" s="280"/>
      <c r="T1164" s="280"/>
      <c r="U1164" s="280"/>
    </row>
    <row r="1165" spans="2:21" ht="14.25">
      <c r="B1165" s="248" t="s">
        <v>664</v>
      </c>
      <c r="L1165" s="282">
        <f>L1179</f>
        <v>44</v>
      </c>
      <c r="M1165" s="282">
        <f>M1179</f>
        <v>44</v>
      </c>
      <c r="N1165" s="282"/>
      <c r="O1165" s="282"/>
      <c r="P1165" s="282"/>
      <c r="Q1165" s="272"/>
      <c r="R1165" s="272"/>
      <c r="S1165" s="280"/>
      <c r="T1165" s="280"/>
      <c r="U1165" s="280"/>
    </row>
    <row r="1166" spans="2:21" ht="14.25">
      <c r="B1166" s="248" t="s">
        <v>653</v>
      </c>
      <c r="L1166" s="282">
        <v>2000</v>
      </c>
      <c r="M1166" s="282">
        <v>2000</v>
      </c>
      <c r="N1166" s="282"/>
      <c r="O1166" s="282"/>
      <c r="P1166" s="282"/>
      <c r="Q1166" s="272"/>
      <c r="R1166" s="272"/>
      <c r="S1166" s="280"/>
      <c r="T1166" s="280"/>
      <c r="U1166" s="280"/>
    </row>
    <row r="1167" spans="2:21" ht="42.75">
      <c r="B1167" s="242" t="s">
        <v>674</v>
      </c>
      <c r="L1167" s="282">
        <f>L1168</f>
        <v>2000</v>
      </c>
      <c r="M1167" s="282">
        <f>M1168</f>
        <v>2000</v>
      </c>
      <c r="N1167" s="282"/>
      <c r="O1167" s="282"/>
      <c r="P1167" s="282"/>
      <c r="Q1167" s="272"/>
      <c r="R1167" s="272"/>
      <c r="S1167" s="280"/>
      <c r="T1167" s="280"/>
      <c r="U1167" s="280"/>
    </row>
    <row r="1168" spans="2:21" ht="14.25">
      <c r="B1168" s="252" t="s">
        <v>653</v>
      </c>
      <c r="L1168" s="282">
        <f>L1169+L1170+L1171+L1172+L1173+L1174+L1175+L1176+L1177</f>
        <v>2000</v>
      </c>
      <c r="M1168" s="282">
        <f>M1169+M1170+M1171+M1172+M1173+M1174+M1175+M1176+M1177</f>
        <v>2000</v>
      </c>
      <c r="N1168" s="282"/>
      <c r="O1168" s="282"/>
      <c r="P1168" s="282"/>
      <c r="Q1168" s="272"/>
      <c r="R1168" s="272"/>
      <c r="S1168" s="280"/>
      <c r="T1168" s="280"/>
      <c r="U1168" s="280"/>
    </row>
    <row r="1169" spans="2:21" ht="30">
      <c r="B1169" s="250" t="s">
        <v>675</v>
      </c>
      <c r="L1169" s="308">
        <v>1268</v>
      </c>
      <c r="M1169" s="308">
        <v>1268</v>
      </c>
      <c r="N1169" s="308"/>
      <c r="O1169" s="308"/>
      <c r="P1169" s="308"/>
      <c r="Q1169" s="281"/>
      <c r="R1169" s="281"/>
      <c r="S1169" s="280"/>
      <c r="T1169" s="280"/>
      <c r="U1169" s="280"/>
    </row>
    <row r="1170" spans="2:21" ht="30">
      <c r="B1170" s="251" t="s">
        <v>676</v>
      </c>
      <c r="L1170" s="308">
        <v>52</v>
      </c>
      <c r="M1170" s="308">
        <v>52</v>
      </c>
      <c r="N1170" s="308"/>
      <c r="O1170" s="308"/>
      <c r="P1170" s="308"/>
      <c r="Q1170" s="281"/>
      <c r="R1170" s="281"/>
      <c r="S1170" s="280"/>
      <c r="T1170" s="280"/>
      <c r="U1170" s="280"/>
    </row>
    <row r="1171" spans="2:21" ht="30">
      <c r="B1171" s="251" t="s">
        <v>677</v>
      </c>
      <c r="L1171" s="308">
        <v>43</v>
      </c>
      <c r="M1171" s="308">
        <v>43</v>
      </c>
      <c r="N1171" s="308"/>
      <c r="O1171" s="308"/>
      <c r="P1171" s="308"/>
      <c r="Q1171" s="281"/>
      <c r="R1171" s="281"/>
      <c r="S1171" s="280"/>
      <c r="T1171" s="280"/>
      <c r="U1171" s="280"/>
    </row>
    <row r="1172" spans="2:21" ht="30">
      <c r="B1172" s="251" t="s">
        <v>678</v>
      </c>
      <c r="L1172" s="308">
        <v>30</v>
      </c>
      <c r="M1172" s="308">
        <v>30</v>
      </c>
      <c r="N1172" s="308"/>
      <c r="O1172" s="308"/>
      <c r="P1172" s="308"/>
      <c r="Q1172" s="281"/>
      <c r="R1172" s="281"/>
      <c r="S1172" s="280"/>
      <c r="T1172" s="280"/>
      <c r="U1172" s="280"/>
    </row>
    <row r="1173" spans="2:21" ht="30">
      <c r="B1173" s="251" t="s">
        <v>679</v>
      </c>
      <c r="L1173" s="308">
        <v>200</v>
      </c>
      <c r="M1173" s="308">
        <v>200</v>
      </c>
      <c r="N1173" s="308"/>
      <c r="O1173" s="308"/>
      <c r="P1173" s="308"/>
      <c r="Q1173" s="281"/>
      <c r="R1173" s="281"/>
      <c r="S1173" s="280"/>
      <c r="T1173" s="280"/>
      <c r="U1173" s="280"/>
    </row>
    <row r="1174" spans="2:21" ht="30">
      <c r="B1174" s="251" t="s">
        <v>680</v>
      </c>
      <c r="L1174" s="308">
        <v>200</v>
      </c>
      <c r="M1174" s="308">
        <v>200</v>
      </c>
      <c r="N1174" s="308"/>
      <c r="O1174" s="308"/>
      <c r="P1174" s="308"/>
      <c r="Q1174" s="281"/>
      <c r="R1174" s="281"/>
      <c r="S1174" s="280"/>
      <c r="T1174" s="280"/>
      <c r="U1174" s="280"/>
    </row>
    <row r="1175" spans="2:21" ht="30">
      <c r="B1175" s="251" t="s">
        <v>681</v>
      </c>
      <c r="L1175" s="308">
        <v>200</v>
      </c>
      <c r="M1175" s="308">
        <v>200</v>
      </c>
      <c r="N1175" s="308"/>
      <c r="O1175" s="308"/>
      <c r="P1175" s="308"/>
      <c r="Q1175" s="281"/>
      <c r="R1175" s="281"/>
      <c r="S1175" s="280"/>
      <c r="T1175" s="280"/>
      <c r="U1175" s="280"/>
    </row>
    <row r="1176" spans="2:21" ht="15">
      <c r="B1176" s="249" t="s">
        <v>682</v>
      </c>
      <c r="L1176" s="308">
        <v>7</v>
      </c>
      <c r="M1176" s="308">
        <v>7</v>
      </c>
      <c r="N1176" s="308"/>
      <c r="O1176" s="308"/>
      <c r="P1176" s="308"/>
      <c r="Q1176" s="281"/>
      <c r="R1176" s="281"/>
      <c r="S1176" s="280"/>
      <c r="T1176" s="280"/>
      <c r="U1176" s="280"/>
    </row>
    <row r="1177" spans="2:21" ht="15">
      <c r="B1177" s="249" t="s">
        <v>683</v>
      </c>
      <c r="L1177" s="308">
        <v>0</v>
      </c>
      <c r="M1177" s="308">
        <v>0</v>
      </c>
      <c r="N1177" s="308"/>
      <c r="O1177" s="308"/>
      <c r="P1177" s="308"/>
      <c r="Q1177" s="281"/>
      <c r="R1177" s="281"/>
      <c r="S1177" s="280"/>
      <c r="T1177" s="280"/>
      <c r="U1177" s="280"/>
    </row>
    <row r="1178" spans="2:21" ht="14.25">
      <c r="B1178" s="253" t="s">
        <v>684</v>
      </c>
      <c r="L1178" s="282">
        <v>44</v>
      </c>
      <c r="M1178" s="282">
        <v>44</v>
      </c>
      <c r="N1178" s="282"/>
      <c r="O1178" s="282"/>
      <c r="P1178" s="282"/>
      <c r="Q1178" s="272"/>
      <c r="R1178" s="272"/>
      <c r="S1178" s="280"/>
      <c r="T1178" s="280"/>
      <c r="U1178" s="280"/>
    </row>
    <row r="1179" spans="2:21" ht="14.25">
      <c r="B1179" s="254" t="s">
        <v>664</v>
      </c>
      <c r="L1179" s="282">
        <f>L1180+L1181+L1182+L1183</f>
        <v>44</v>
      </c>
      <c r="M1179" s="282">
        <f>M1180+M1181+M1182+M1183</f>
        <v>44</v>
      </c>
      <c r="N1179" s="282"/>
      <c r="O1179" s="282"/>
      <c r="P1179" s="282"/>
      <c r="Q1179" s="272"/>
      <c r="R1179" s="272"/>
      <c r="S1179" s="280"/>
      <c r="T1179" s="280"/>
      <c r="U1179" s="280"/>
    </row>
    <row r="1180" spans="2:21" ht="15">
      <c r="B1180" s="247" t="s">
        <v>685</v>
      </c>
      <c r="L1180" s="307">
        <v>10</v>
      </c>
      <c r="M1180" s="307">
        <v>10</v>
      </c>
      <c r="N1180" s="307"/>
      <c r="O1180" s="307"/>
      <c r="P1180" s="307"/>
      <c r="Q1180" s="274"/>
      <c r="R1180" s="274"/>
      <c r="S1180" s="280"/>
      <c r="T1180" s="280"/>
      <c r="U1180" s="280"/>
    </row>
    <row r="1181" spans="2:21" ht="15">
      <c r="B1181" s="247" t="s">
        <v>686</v>
      </c>
      <c r="L1181" s="309">
        <v>15</v>
      </c>
      <c r="M1181" s="309">
        <v>15</v>
      </c>
      <c r="N1181" s="309"/>
      <c r="O1181" s="309"/>
      <c r="P1181" s="309"/>
      <c r="Q1181" s="275"/>
      <c r="R1181" s="275"/>
      <c r="S1181" s="280"/>
      <c r="T1181" s="280"/>
      <c r="U1181" s="280"/>
    </row>
    <row r="1182" spans="2:21" ht="15">
      <c r="B1182" s="247" t="s">
        <v>687</v>
      </c>
      <c r="L1182" s="309">
        <v>9</v>
      </c>
      <c r="M1182" s="309">
        <v>9</v>
      </c>
      <c r="N1182" s="309"/>
      <c r="O1182" s="309"/>
      <c r="P1182" s="309"/>
      <c r="Q1182" s="275"/>
      <c r="R1182" s="275"/>
      <c r="S1182" s="280"/>
      <c r="T1182" s="280"/>
      <c r="U1182" s="280"/>
    </row>
    <row r="1183" spans="2:21" ht="15">
      <c r="B1183" s="247" t="s">
        <v>688</v>
      </c>
      <c r="L1183" s="309">
        <v>10</v>
      </c>
      <c r="M1183" s="309">
        <v>10</v>
      </c>
      <c r="N1183" s="309"/>
      <c r="O1183" s="309"/>
      <c r="P1183" s="309"/>
      <c r="Q1183" s="275"/>
      <c r="R1183" s="275"/>
      <c r="S1183" s="280"/>
      <c r="T1183" s="280"/>
      <c r="U1183" s="280"/>
    </row>
    <row r="1184" spans="2:21" ht="28.5">
      <c r="B1184" s="255" t="s">
        <v>689</v>
      </c>
      <c r="L1184" s="282">
        <v>50</v>
      </c>
      <c r="M1184" s="282">
        <v>50</v>
      </c>
      <c r="N1184" s="282"/>
      <c r="O1184" s="282"/>
      <c r="P1184" s="282"/>
      <c r="Q1184" s="272"/>
      <c r="R1184" s="272"/>
      <c r="S1184" s="280"/>
      <c r="T1184" s="280"/>
      <c r="U1184" s="280"/>
    </row>
    <row r="1185" spans="2:21" ht="14.25">
      <c r="B1185" s="253" t="s">
        <v>372</v>
      </c>
      <c r="L1185" s="282">
        <v>50</v>
      </c>
      <c r="M1185" s="282">
        <v>50</v>
      </c>
      <c r="N1185" s="282"/>
      <c r="O1185" s="282"/>
      <c r="P1185" s="282"/>
      <c r="Q1185" s="272"/>
      <c r="R1185" s="272"/>
      <c r="S1185" s="280"/>
      <c r="T1185" s="280"/>
      <c r="U1185" s="280"/>
    </row>
    <row r="1186" spans="2:21" ht="14.25">
      <c r="B1186" s="254" t="s">
        <v>664</v>
      </c>
      <c r="L1186" s="282">
        <f>L1187</f>
        <v>50</v>
      </c>
      <c r="M1186" s="282">
        <f>M1187</f>
        <v>50</v>
      </c>
      <c r="N1186" s="282"/>
      <c r="O1186" s="282"/>
      <c r="P1186" s="282"/>
      <c r="Q1186" s="272"/>
      <c r="R1186" s="272"/>
      <c r="S1186" s="280"/>
      <c r="T1186" s="280"/>
      <c r="U1186" s="280"/>
    </row>
    <row r="1187" spans="2:21" ht="30">
      <c r="B1187" s="247" t="s">
        <v>690</v>
      </c>
      <c r="L1187" s="282">
        <v>50</v>
      </c>
      <c r="M1187" s="282">
        <v>50</v>
      </c>
      <c r="N1187" s="282"/>
      <c r="O1187" s="282"/>
      <c r="P1187" s="282"/>
      <c r="Q1187" s="272"/>
      <c r="R1187" s="272"/>
      <c r="S1187" s="280"/>
      <c r="T1187" s="280"/>
      <c r="U1187" s="280"/>
    </row>
    <row r="1188" spans="2:21" ht="14.25">
      <c r="B1188" s="256" t="s">
        <v>691</v>
      </c>
      <c r="L1188" s="282">
        <v>945</v>
      </c>
      <c r="M1188" s="282">
        <v>945</v>
      </c>
      <c r="N1188" s="282"/>
      <c r="O1188" s="282"/>
      <c r="P1188" s="282"/>
      <c r="Q1188" s="272"/>
      <c r="R1188" s="272"/>
      <c r="S1188" s="280"/>
      <c r="T1188" s="280"/>
      <c r="U1188" s="280"/>
    </row>
    <row r="1189" spans="2:21" ht="15">
      <c r="B1189" s="257" t="s">
        <v>692</v>
      </c>
      <c r="L1189" s="282">
        <v>945</v>
      </c>
      <c r="M1189" s="282">
        <v>945</v>
      </c>
      <c r="N1189" s="282"/>
      <c r="O1189" s="282"/>
      <c r="P1189" s="282"/>
      <c r="Q1189" s="272"/>
      <c r="R1189" s="272"/>
      <c r="S1189" s="280"/>
      <c r="T1189" s="280"/>
      <c r="U1189" s="280"/>
    </row>
    <row r="1190" spans="2:21" ht="14.25">
      <c r="B1190" s="253" t="s">
        <v>693</v>
      </c>
      <c r="L1190" s="282">
        <f>L1191+L1194</f>
        <v>18451</v>
      </c>
      <c r="M1190" s="282">
        <f>M1191+M1194</f>
        <v>18451</v>
      </c>
      <c r="N1190" s="282"/>
      <c r="O1190" s="282"/>
      <c r="P1190" s="282"/>
      <c r="Q1190" s="272"/>
      <c r="R1190" s="272"/>
      <c r="S1190" s="280"/>
      <c r="T1190" s="280"/>
      <c r="U1190" s="280"/>
    </row>
    <row r="1191" spans="2:21" ht="14.25">
      <c r="B1191" s="258" t="s">
        <v>694</v>
      </c>
      <c r="L1191" s="282">
        <f>L1192+L1193</f>
        <v>1459</v>
      </c>
      <c r="M1191" s="282">
        <f>M1192+M1193</f>
        <v>1459</v>
      </c>
      <c r="N1191" s="282"/>
      <c r="O1191" s="282"/>
      <c r="P1191" s="282"/>
      <c r="Q1191" s="272"/>
      <c r="R1191" s="272"/>
      <c r="S1191" s="280"/>
      <c r="T1191" s="280"/>
      <c r="U1191" s="280"/>
    </row>
    <row r="1192" spans="2:21" ht="75">
      <c r="B1192" s="247" t="s">
        <v>695</v>
      </c>
      <c r="L1192" s="306">
        <f>808+124</f>
        <v>932</v>
      </c>
      <c r="M1192" s="306">
        <f>808+124</f>
        <v>932</v>
      </c>
      <c r="N1192" s="306"/>
      <c r="O1192" s="306"/>
      <c r="P1192" s="306"/>
      <c r="Q1192" s="273"/>
      <c r="R1192" s="273"/>
      <c r="S1192" s="280"/>
      <c r="T1192" s="280"/>
      <c r="U1192" s="280"/>
    </row>
    <row r="1193" spans="2:21" ht="60">
      <c r="B1193" s="247" t="s">
        <v>696</v>
      </c>
      <c r="L1193" s="306">
        <f>470+57</f>
        <v>527</v>
      </c>
      <c r="M1193" s="306">
        <f>470+57</f>
        <v>527</v>
      </c>
      <c r="N1193" s="306"/>
      <c r="O1193" s="306"/>
      <c r="P1193" s="306"/>
      <c r="Q1193" s="273"/>
      <c r="R1193" s="273"/>
      <c r="S1193" s="280"/>
      <c r="T1193" s="280"/>
      <c r="U1193" s="280"/>
    </row>
    <row r="1194" spans="2:21" ht="14.25">
      <c r="B1194" s="259" t="s">
        <v>664</v>
      </c>
      <c r="L1194" s="282">
        <f>L1195+L1204</f>
        <v>16992</v>
      </c>
      <c r="M1194" s="282">
        <f>M1195+M1204</f>
        <v>16992</v>
      </c>
      <c r="N1194" s="282"/>
      <c r="O1194" s="282"/>
      <c r="P1194" s="282"/>
      <c r="Q1194" s="272"/>
      <c r="R1194" s="272"/>
      <c r="S1194" s="280"/>
      <c r="T1194" s="280"/>
      <c r="U1194" s="280"/>
    </row>
    <row r="1195" spans="2:21" ht="28.5">
      <c r="B1195" s="260" t="s">
        <v>698</v>
      </c>
      <c r="L1195" s="282">
        <f>L1196+L1197+L1198+L1199+L1200+L1201+L1202+L1203</f>
        <v>5800</v>
      </c>
      <c r="M1195" s="282">
        <f>M1196+M1197+M1198+M1199+M1200+M1201+M1202+M1203</f>
        <v>5800</v>
      </c>
      <c r="N1195" s="282"/>
      <c r="O1195" s="282"/>
      <c r="P1195" s="282"/>
      <c r="Q1195" s="272"/>
      <c r="R1195" s="272"/>
      <c r="S1195" s="280"/>
      <c r="T1195" s="280"/>
      <c r="U1195" s="280"/>
    </row>
    <row r="1196" spans="2:21" ht="45">
      <c r="B1196" s="261" t="s">
        <v>699</v>
      </c>
      <c r="L1196" s="310">
        <v>80</v>
      </c>
      <c r="M1196" s="310">
        <v>80</v>
      </c>
      <c r="N1196" s="310"/>
      <c r="O1196" s="310"/>
      <c r="P1196" s="310"/>
      <c r="Q1196" s="276"/>
      <c r="R1196" s="276"/>
      <c r="S1196" s="280"/>
      <c r="T1196" s="280"/>
      <c r="U1196" s="280"/>
    </row>
    <row r="1197" spans="2:21" ht="30">
      <c r="B1197" s="261" t="s">
        <v>700</v>
      </c>
      <c r="L1197" s="311">
        <v>1365</v>
      </c>
      <c r="M1197" s="311">
        <v>1365</v>
      </c>
      <c r="N1197" s="311"/>
      <c r="O1197" s="311"/>
      <c r="P1197" s="311"/>
      <c r="Q1197" s="277"/>
      <c r="R1197" s="277"/>
      <c r="S1197" s="280"/>
      <c r="T1197" s="280"/>
      <c r="U1197" s="280"/>
    </row>
    <row r="1198" spans="2:21" ht="30">
      <c r="B1198" s="261" t="s">
        <v>701</v>
      </c>
      <c r="L1198" s="311">
        <v>17</v>
      </c>
      <c r="M1198" s="311">
        <v>17</v>
      </c>
      <c r="N1198" s="311"/>
      <c r="O1198" s="311"/>
      <c r="P1198" s="311"/>
      <c r="Q1198" s="277"/>
      <c r="R1198" s="277"/>
      <c r="S1198" s="280"/>
      <c r="T1198" s="280"/>
      <c r="U1198" s="280"/>
    </row>
    <row r="1199" spans="2:21" ht="45">
      <c r="B1199" s="261" t="s">
        <v>702</v>
      </c>
      <c r="L1199" s="311">
        <v>200</v>
      </c>
      <c r="M1199" s="311">
        <v>200</v>
      </c>
      <c r="N1199" s="311"/>
      <c r="O1199" s="311"/>
      <c r="P1199" s="311"/>
      <c r="Q1199" s="277"/>
      <c r="R1199" s="277"/>
      <c r="S1199" s="280"/>
      <c r="T1199" s="280"/>
      <c r="U1199" s="280"/>
    </row>
    <row r="1200" spans="2:21" ht="45">
      <c r="B1200" s="261" t="s">
        <v>703</v>
      </c>
      <c r="L1200" s="311">
        <v>3502</v>
      </c>
      <c r="M1200" s="311">
        <v>3502</v>
      </c>
      <c r="N1200" s="311"/>
      <c r="O1200" s="311"/>
      <c r="P1200" s="311"/>
      <c r="Q1200" s="277"/>
      <c r="R1200" s="277"/>
      <c r="S1200" s="280"/>
      <c r="T1200" s="280"/>
      <c r="U1200" s="280"/>
    </row>
    <row r="1201" spans="2:23" ht="45">
      <c r="B1201" s="262" t="s">
        <v>704</v>
      </c>
      <c r="L1201" s="310">
        <v>186</v>
      </c>
      <c r="M1201" s="310">
        <v>186</v>
      </c>
      <c r="N1201" s="310"/>
      <c r="O1201" s="310"/>
      <c r="P1201" s="310"/>
      <c r="Q1201" s="276"/>
      <c r="R1201" s="276"/>
      <c r="S1201" s="280"/>
      <c r="T1201" s="280"/>
      <c r="U1201" s="280"/>
    </row>
    <row r="1202" spans="2:23" ht="30">
      <c r="B1202" s="262" t="s">
        <v>705</v>
      </c>
      <c r="L1202" s="310">
        <v>399</v>
      </c>
      <c r="M1202" s="310">
        <v>399</v>
      </c>
      <c r="N1202" s="310"/>
      <c r="O1202" s="310"/>
      <c r="P1202" s="310"/>
      <c r="Q1202" s="276"/>
      <c r="R1202" s="276"/>
      <c r="S1202" s="280"/>
      <c r="T1202" s="280"/>
      <c r="U1202" s="280"/>
    </row>
    <row r="1203" spans="2:23" ht="45">
      <c r="B1203" s="262" t="s">
        <v>706</v>
      </c>
      <c r="L1203" s="310">
        <v>51</v>
      </c>
      <c r="M1203" s="310">
        <v>51</v>
      </c>
      <c r="N1203" s="310"/>
      <c r="O1203" s="310"/>
      <c r="P1203" s="310"/>
      <c r="Q1203" s="276"/>
      <c r="R1203" s="276"/>
      <c r="S1203" s="280"/>
      <c r="T1203" s="280"/>
      <c r="U1203" s="280"/>
    </row>
    <row r="1204" spans="2:23" ht="14.25">
      <c r="B1204" s="232" t="s">
        <v>697</v>
      </c>
      <c r="L1204" s="282">
        <f>L1205+L1206+L1207+L1208+L1209+L1210+L1211+L1212+L1213+L1214+L1215+L1216+L1217+L1218+L1219+L1220</f>
        <v>11192</v>
      </c>
      <c r="M1204" s="282">
        <f>M1205+M1206+M1207+M1208+M1209+M1210+M1211+M1212+M1213+M1214+M1215+M1216+M1217+M1218+M1219+M1220</f>
        <v>11192</v>
      </c>
      <c r="N1204" s="282"/>
      <c r="O1204" s="282"/>
      <c r="P1204" s="282"/>
      <c r="Q1204" s="272"/>
      <c r="R1204" s="272"/>
      <c r="S1204" s="280"/>
      <c r="T1204" s="280"/>
      <c r="U1204" s="280"/>
    </row>
    <row r="1205" spans="2:23" ht="45">
      <c r="B1205" s="263" t="s">
        <v>707</v>
      </c>
      <c r="L1205" s="307">
        <v>297</v>
      </c>
      <c r="M1205" s="307">
        <v>297</v>
      </c>
      <c r="N1205" s="307"/>
      <c r="O1205" s="307"/>
      <c r="P1205" s="307"/>
      <c r="Q1205" s="274"/>
      <c r="R1205" s="274"/>
      <c r="S1205" s="280"/>
      <c r="T1205" s="280"/>
      <c r="U1205" s="280"/>
    </row>
    <row r="1206" spans="2:23" ht="60">
      <c r="B1206" s="263" t="s">
        <v>708</v>
      </c>
      <c r="L1206" s="307">
        <f>2656+800</f>
        <v>3456</v>
      </c>
      <c r="M1206" s="307">
        <f>2656+800</f>
        <v>3456</v>
      </c>
      <c r="N1206" s="307"/>
      <c r="O1206" s="307"/>
      <c r="P1206" s="307"/>
      <c r="Q1206" s="274"/>
      <c r="R1206" s="274"/>
      <c r="S1206" s="280"/>
      <c r="T1206" s="280"/>
      <c r="U1206" s="280"/>
    </row>
    <row r="1207" spans="2:23" ht="45">
      <c r="B1207" s="264" t="s">
        <v>723</v>
      </c>
      <c r="L1207" s="307">
        <v>10</v>
      </c>
      <c r="M1207" s="307">
        <v>10</v>
      </c>
      <c r="N1207" s="307"/>
      <c r="O1207" s="307"/>
      <c r="P1207" s="307"/>
      <c r="Q1207" s="274"/>
      <c r="R1207" s="274"/>
      <c r="S1207" s="280"/>
      <c r="T1207" s="280"/>
      <c r="U1207" s="280"/>
      <c r="W1207" s="269"/>
    </row>
    <row r="1208" spans="2:23" ht="45">
      <c r="B1208" s="265" t="s">
        <v>709</v>
      </c>
      <c r="L1208" s="307">
        <v>50</v>
      </c>
      <c r="M1208" s="307">
        <v>50</v>
      </c>
      <c r="N1208" s="307"/>
      <c r="O1208" s="307"/>
      <c r="P1208" s="307"/>
      <c r="Q1208" s="274"/>
      <c r="R1208" s="274"/>
      <c r="S1208" s="280"/>
      <c r="T1208" s="280"/>
      <c r="U1208" s="280"/>
    </row>
    <row r="1209" spans="2:23" ht="30">
      <c r="B1209" s="264" t="s">
        <v>710</v>
      </c>
      <c r="L1209" s="307">
        <v>30</v>
      </c>
      <c r="M1209" s="307">
        <v>30</v>
      </c>
      <c r="N1209" s="307"/>
      <c r="O1209" s="307"/>
      <c r="P1209" s="307"/>
      <c r="Q1209" s="274"/>
      <c r="R1209" s="274"/>
      <c r="S1209" s="280"/>
      <c r="T1209" s="280"/>
      <c r="U1209" s="280"/>
    </row>
    <row r="1210" spans="2:23" ht="45">
      <c r="B1210" s="265" t="s">
        <v>711</v>
      </c>
      <c r="L1210" s="307">
        <v>80</v>
      </c>
      <c r="M1210" s="307">
        <v>80</v>
      </c>
      <c r="N1210" s="307"/>
      <c r="O1210" s="307"/>
      <c r="P1210" s="307"/>
      <c r="Q1210" s="274"/>
      <c r="R1210" s="274"/>
      <c r="S1210" s="280"/>
      <c r="T1210" s="280"/>
      <c r="U1210" s="280"/>
    </row>
    <row r="1211" spans="2:23" ht="30">
      <c r="B1211" s="266" t="s">
        <v>712</v>
      </c>
      <c r="L1211" s="307">
        <v>15</v>
      </c>
      <c r="M1211" s="307">
        <v>15</v>
      </c>
      <c r="N1211" s="307"/>
      <c r="O1211" s="307"/>
      <c r="P1211" s="307"/>
      <c r="Q1211" s="274"/>
      <c r="R1211" s="274"/>
      <c r="S1211" s="280"/>
      <c r="T1211" s="280"/>
      <c r="U1211" s="280"/>
    </row>
    <row r="1212" spans="2:23" ht="45">
      <c r="B1212" s="264" t="s">
        <v>713</v>
      </c>
      <c r="L1212" s="307">
        <f>1800+3200</f>
        <v>5000</v>
      </c>
      <c r="M1212" s="307">
        <f>1800+3200</f>
        <v>5000</v>
      </c>
      <c r="N1212" s="307"/>
      <c r="O1212" s="307"/>
      <c r="P1212" s="307"/>
      <c r="Q1212" s="274"/>
      <c r="R1212" s="274"/>
      <c r="S1212" s="280"/>
      <c r="T1212" s="280"/>
      <c r="U1212" s="280"/>
    </row>
    <row r="1213" spans="2:23" ht="45">
      <c r="B1213" s="266" t="s">
        <v>714</v>
      </c>
      <c r="L1213" s="307">
        <v>1400</v>
      </c>
      <c r="M1213" s="307">
        <v>1400</v>
      </c>
      <c r="N1213" s="307"/>
      <c r="O1213" s="307"/>
      <c r="P1213" s="307"/>
      <c r="Q1213" s="274"/>
      <c r="R1213" s="274"/>
      <c r="S1213" s="280"/>
      <c r="T1213" s="280"/>
      <c r="U1213" s="280"/>
    </row>
    <row r="1214" spans="2:23" ht="60">
      <c r="B1214" s="266" t="s">
        <v>715</v>
      </c>
      <c r="L1214" s="307">
        <v>150</v>
      </c>
      <c r="M1214" s="307">
        <v>150</v>
      </c>
      <c r="N1214" s="307"/>
      <c r="O1214" s="307"/>
      <c r="P1214" s="307"/>
      <c r="Q1214" s="274"/>
      <c r="R1214" s="274"/>
      <c r="S1214" s="280"/>
      <c r="T1214" s="280"/>
      <c r="U1214" s="280"/>
    </row>
    <row r="1215" spans="2:23" ht="45">
      <c r="B1215" s="266" t="s">
        <v>716</v>
      </c>
      <c r="L1215" s="307">
        <v>150</v>
      </c>
      <c r="M1215" s="307">
        <v>150</v>
      </c>
      <c r="N1215" s="307"/>
      <c r="O1215" s="307"/>
      <c r="P1215" s="307"/>
      <c r="Q1215" s="274"/>
      <c r="R1215" s="274"/>
      <c r="S1215" s="280"/>
      <c r="T1215" s="280"/>
      <c r="U1215" s="280"/>
    </row>
    <row r="1216" spans="2:23" ht="45">
      <c r="B1216" s="266" t="s">
        <v>717</v>
      </c>
      <c r="L1216" s="307">
        <v>150</v>
      </c>
      <c r="M1216" s="307">
        <v>150</v>
      </c>
      <c r="N1216" s="307"/>
      <c r="O1216" s="307"/>
      <c r="P1216" s="307"/>
      <c r="Q1216" s="274"/>
      <c r="R1216" s="274"/>
      <c r="S1216" s="280"/>
      <c r="T1216" s="280"/>
      <c r="U1216" s="280"/>
    </row>
    <row r="1217" spans="2:21" ht="30">
      <c r="B1217" s="267" t="s">
        <v>718</v>
      </c>
      <c r="L1217" s="307">
        <v>127</v>
      </c>
      <c r="M1217" s="307">
        <v>127</v>
      </c>
      <c r="N1217" s="307"/>
      <c r="O1217" s="307"/>
      <c r="P1217" s="307"/>
      <c r="Q1217" s="274"/>
      <c r="R1217" s="274"/>
      <c r="S1217" s="280"/>
      <c r="T1217" s="280"/>
      <c r="U1217" s="280"/>
    </row>
    <row r="1218" spans="2:21" ht="165">
      <c r="B1218" s="247" t="s">
        <v>719</v>
      </c>
      <c r="L1218" s="312">
        <v>65</v>
      </c>
      <c r="M1218" s="312">
        <v>65</v>
      </c>
      <c r="N1218" s="312"/>
      <c r="O1218" s="312"/>
      <c r="P1218" s="312"/>
      <c r="Q1218" s="278"/>
      <c r="R1218" s="278"/>
      <c r="S1218" s="280"/>
      <c r="T1218" s="280"/>
      <c r="U1218" s="280"/>
    </row>
    <row r="1219" spans="2:21" ht="75">
      <c r="B1219" s="268" t="s">
        <v>720</v>
      </c>
      <c r="L1219" s="313">
        <v>120</v>
      </c>
      <c r="M1219" s="313">
        <v>120</v>
      </c>
      <c r="N1219" s="313"/>
      <c r="O1219" s="313"/>
      <c r="P1219" s="313"/>
      <c r="Q1219" s="279"/>
      <c r="R1219" s="279"/>
      <c r="S1219" s="280"/>
      <c r="T1219" s="280"/>
      <c r="U1219" s="280"/>
    </row>
    <row r="1220" spans="2:21" ht="60">
      <c r="B1220" s="268" t="s">
        <v>721</v>
      </c>
      <c r="L1220" s="313">
        <v>92</v>
      </c>
      <c r="M1220" s="313">
        <v>92</v>
      </c>
      <c r="N1220" s="313"/>
      <c r="O1220" s="313"/>
      <c r="P1220" s="313"/>
      <c r="Q1220" s="279"/>
      <c r="R1220" s="279"/>
      <c r="S1220" s="280"/>
      <c r="T1220" s="280"/>
      <c r="U1220" s="280"/>
    </row>
    <row r="1221" spans="2:21" ht="14.25">
      <c r="B1221" s="259" t="s">
        <v>722</v>
      </c>
      <c r="L1221" s="282">
        <f>L1140+L1156+L1160+L1164+L1184+L1188+L1190</f>
        <v>34939</v>
      </c>
      <c r="M1221" s="282">
        <f>M1140+M1156+M1160+M1164+M1184+M1188+M1190</f>
        <v>34939</v>
      </c>
      <c r="N1221" s="282"/>
      <c r="O1221" s="282"/>
      <c r="P1221" s="282"/>
      <c r="Q1221" s="272"/>
      <c r="R1221" s="272"/>
      <c r="S1221" s="280"/>
      <c r="T1221" s="280"/>
      <c r="U1221" s="280"/>
    </row>
  </sheetData>
  <mergeCells count="9">
    <mergeCell ref="S10:U10"/>
    <mergeCell ref="B2:C2"/>
    <mergeCell ref="A10:A11"/>
    <mergeCell ref="B10:B11"/>
    <mergeCell ref="C10:C11"/>
    <mergeCell ref="M10:P10"/>
    <mergeCell ref="A5:R5"/>
    <mergeCell ref="A6:R6"/>
    <mergeCell ref="B7:R7"/>
  </mergeCells>
  <pageMargins left="0.86614173228346458" right="0.15748031496062992" top="0.27559055118110237" bottom="0.23622047244094491" header="0.15748031496062992" footer="0.19685039370078741"/>
  <pageSetup paperSize="9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PROIECT BUGET 2021  </vt:lpstr>
      <vt:lpstr>'PROIECT BUGET 2021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2021-04-12T11:37:13Z</cp:lastPrinted>
  <dcterms:created xsi:type="dcterms:W3CDTF">2017-03-22T13:01:52Z</dcterms:created>
  <dcterms:modified xsi:type="dcterms:W3CDTF">2021-04-20T07:05:44Z</dcterms:modified>
</cp:coreProperties>
</file>